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comments5.xml" ContentType="application/vnd.openxmlformats-officedocument.spreadsheetml.comments+xml"/>
  <Override PartName="/docProps/custom.xml" ContentType="application/vnd.openxmlformats-officedocument.custom-propertie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comments4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8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MPO\50 IRTIP\18-21 IRTIP\Call for Projects\Call for projects\2022\CMAQ\"/>
    </mc:Choice>
  </mc:AlternateContent>
  <bookViews>
    <workbookView xWindow="0" yWindow="0" windowWidth="20010" windowHeight="10110" tabRatio="909"/>
  </bookViews>
  <sheets>
    <sheet name="2.1_ATMS" sheetId="100" r:id="rId1"/>
    <sheet name="2.2_Signal Synchronization" sheetId="76" r:id="rId2"/>
    <sheet name="2.3a_Int - New Signal" sheetId="36" r:id="rId3"/>
    <sheet name="2.3b_Int - New Phase" sheetId="37" r:id="rId4"/>
    <sheet name="2.3c_Int - Capacity and Phase" sheetId="38" r:id="rId5"/>
    <sheet name="2.3d_Int - New Signal wTurn" sheetId="109" r:id="rId6"/>
    <sheet name="2.4_Roundabout" sheetId="92" r:id="rId7"/>
    <sheet name="3.1_Transit-TransitTech" sheetId="81" r:id="rId8"/>
    <sheet name="4.1_Bike-Ped-Transit" sheetId="20" r:id="rId9"/>
    <sheet name="4.2_Reg. Significant Bike-Ped" sheetId="91" r:id="rId10"/>
    <sheet name="4.3 Carpool-Vanpool" sheetId="102" r:id="rId11"/>
    <sheet name="2015ER" sheetId="83" r:id="rId12"/>
    <sheet name="2025ER" sheetId="84" r:id="rId13"/>
    <sheet name="OtherVariables" sheetId="79" r:id="rId14"/>
    <sheet name="Sources &amp; Comments" sheetId="93" r:id="rId15"/>
  </sheets>
  <externalReferences>
    <externalReference r:id="rId16"/>
    <externalReference r:id="rId17"/>
    <externalReference r:id="rId18"/>
    <externalReference r:id="rId19"/>
    <externalReference r:id="rId20"/>
  </externalReferences>
  <definedNames>
    <definedName name="AREASIZE" localSheetId="7">[1]Inputs!$I$29</definedName>
    <definedName name="AREASIZE" localSheetId="10">[1]Inputs!$I$29</definedName>
    <definedName name="AREASIZE">[2]Inputs!$I$29</definedName>
    <definedName name="AREASIZETBL" localSheetId="7">[1]Defaults!$AS$211:$AT$213</definedName>
    <definedName name="AREASIZETBL" localSheetId="10">[1]Defaults!$AS$211:$AT$213</definedName>
    <definedName name="AREASIZETBL">[2]Defaults!$AS$211:$AT$213</definedName>
    <definedName name="BVMT" localSheetId="7">[1]TravCalcs!$S$49</definedName>
    <definedName name="BVMT" localSheetId="10">[1]TravCalcs!$S$49</definedName>
    <definedName name="BVMT">[2]TravCalcs!$S$49</definedName>
    <definedName name="BVMTOP" localSheetId="7">[1]TravCalcs!$S$56</definedName>
    <definedName name="BVMTOP" localSheetId="10">[1]TravCalcs!$S$56</definedName>
    <definedName name="BVMTOP">[2]TravCalcs!$S$56</definedName>
    <definedName name="BVMTPP" localSheetId="7">[1]TravCalcs!$S$55</definedName>
    <definedName name="BVMTPP" localSheetId="10">[1]TravCalcs!$S$55</definedName>
    <definedName name="BVMTPP">[2]TravCalcs!$S$55</definedName>
    <definedName name="Capacity">OtherVariables!$B$12:$G$23</definedName>
    <definedName name="Capacity2">OtherVariables!$I$12:$N$20</definedName>
    <definedName name="_xlnm.Database" localSheetId="0">#REF!</definedName>
    <definedName name="_xlnm.Database" localSheetId="5">#REF!</definedName>
    <definedName name="_xlnm.Database" localSheetId="6">#REF!</definedName>
    <definedName name="_xlnm.Database" localSheetId="12">#REF!</definedName>
    <definedName name="_xlnm.Database" localSheetId="9">#REF!</definedName>
    <definedName name="_xlnm.Database" localSheetId="10">#REF!</definedName>
    <definedName name="_xlnm.Database">#REF!</definedName>
    <definedName name="DEFTELE" localSheetId="7">[1]Defaults!$K$95</definedName>
    <definedName name="DEFTELE" localSheetId="10">[1]Defaults!$K$95</definedName>
    <definedName name="DEFTELE">[2]Defaults!$K$95</definedName>
    <definedName name="DTRIP" localSheetId="7">[1]TravCalcs!$P$49</definedName>
    <definedName name="DTRIP" localSheetId="10">[1]TravCalcs!$P$49</definedName>
    <definedName name="DTRIP">[2]TravCalcs!$P$49</definedName>
    <definedName name="DTRIPOP" localSheetId="7">[1]TravCalcs!$P$56</definedName>
    <definedName name="DTRIPOP" localSheetId="10">[1]TravCalcs!$P$56</definedName>
    <definedName name="DTRIPOP">[2]TravCalcs!$P$56</definedName>
    <definedName name="DTRIPPP" localSheetId="7">[1]TravCalcs!$P$55</definedName>
    <definedName name="DTRIPPP" localSheetId="10">[1]TravCalcs!$P$55</definedName>
    <definedName name="DTRIPPP">[2]TravCalcs!$P$55</definedName>
    <definedName name="DVMT" localSheetId="7">[1]TravCalcs!$U$49</definedName>
    <definedName name="DVMT" localSheetId="10">[1]TravCalcs!$U$49</definedName>
    <definedName name="DVMT">[2]TravCalcs!$U$49</definedName>
    <definedName name="DVMTOP" localSheetId="7">[1]TravCalcs!$U$56</definedName>
    <definedName name="DVMTOP" localSheetId="10">[1]TravCalcs!$U$56</definedName>
    <definedName name="DVMTOP">[2]TravCalcs!$U$56</definedName>
    <definedName name="DVMTPP" localSheetId="7">[1]TravCalcs!$U$55</definedName>
    <definedName name="DVMTPP" localSheetId="10">[1]TravCalcs!$U$55</definedName>
    <definedName name="DVMTPP">[2]TravCalcs!$U$55</definedName>
    <definedName name="EMPTOT" localSheetId="7">[1]Inputs!$I$43</definedName>
    <definedName name="EMPTOT" localSheetId="10">[1]Inputs!$I$43</definedName>
    <definedName name="EMPTOT">[2]Inputs!$I$43</definedName>
    <definedName name="Farebox" localSheetId="0">#REF!</definedName>
    <definedName name="Farebox" localSheetId="5">#REF!</definedName>
    <definedName name="Farebox" localSheetId="10">#REF!</definedName>
    <definedName name="Farebox">#REF!</definedName>
    <definedName name="FILENAME" localSheetId="7">[1]Inputs!$I$20</definedName>
    <definedName name="FILENAME" localSheetId="10">[1]Inputs!$I$20</definedName>
    <definedName name="FILENAME">[2]Inputs!$I$20</definedName>
    <definedName name="FVMT" localSheetId="7">[1]TravCalcs!$T$49</definedName>
    <definedName name="FVMT" localSheetId="10">[1]TravCalcs!$T$49</definedName>
    <definedName name="FVMT">[2]TravCalcs!$T$49</definedName>
    <definedName name="FVMTOP" localSheetId="7">[1]TravCalcs!$T$56</definedName>
    <definedName name="FVMTOP" localSheetId="10">[1]TravCalcs!$T$56</definedName>
    <definedName name="FVMTOP">[2]TravCalcs!$T$56</definedName>
    <definedName name="FVMTPP" localSheetId="7">[1]TravCalcs!$T$55</definedName>
    <definedName name="FVMTPP" localSheetId="10">[1]TravCalcs!$T$55</definedName>
    <definedName name="FVMTPP">[2]TravCalcs!$T$55</definedName>
    <definedName name="MSOPT" localSheetId="7">[1]Inputs!$X$62</definedName>
    <definedName name="MSOPT" localSheetId="10">[1]Inputs!$X$62</definedName>
    <definedName name="MSOPT">[2]Inputs!$X$62</definedName>
    <definedName name="PEAKLENA" localSheetId="7">[1]Defaults!$J$103:$J$109</definedName>
    <definedName name="PEAKLENA" localSheetId="10">[1]Defaults!$J$103:$J$109</definedName>
    <definedName name="PEAKLENA">[2]Defaults!$J$103:$J$109</definedName>
    <definedName name="_xlnm.Print_Area" localSheetId="0">'2.1_ATMS'!$A$1:$H$87</definedName>
    <definedName name="_xlnm.Print_Area" localSheetId="1">'2.2_Signal Synchronization'!$A$1:$K$121</definedName>
    <definedName name="_xlnm.Print_Area" localSheetId="2">'2.3a_Int - New Signal'!$A$1:$H$99</definedName>
    <definedName name="_xlnm.Print_Area" localSheetId="3">'2.3b_Int - New Phase'!$A$1:$H$89</definedName>
    <definedName name="_xlnm.Print_Area" localSheetId="4">'2.3c_Int - Capacity and Phase'!$A$1:$H$103</definedName>
    <definedName name="_xlnm.Print_Area" localSheetId="5">'2.3d_Int - New Signal wTurn'!$A$1:$J$131</definedName>
    <definedName name="_xlnm.Print_Area" localSheetId="6">'2.4_Roundabout'!$A$2:$K$139</definedName>
    <definedName name="_xlnm.Print_Area" localSheetId="7">'3.1_Transit-TransitTech'!$A$1:$H$108</definedName>
    <definedName name="_xlnm.Print_Area" localSheetId="8">'4.1_Bike-Ped-Transit'!$A$1:$H$115</definedName>
    <definedName name="_xlnm.Print_Area" localSheetId="9">'4.2_Reg. Significant Bike-Ped'!$A$1:$H$121</definedName>
    <definedName name="_xlnm.Print_Area" localSheetId="10">'4.3 Carpool-Vanpool'!$A$1:$H$94</definedName>
    <definedName name="_xlnm.Print_Area" localSheetId="14">'Sources &amp; Comments'!$A$1:$D$81</definedName>
    <definedName name="PROGAWS" localSheetId="0">'[3]Moving Cooler unit impacts'!#REF!</definedName>
    <definedName name="PROGAWS" localSheetId="5">'[3]Moving Cooler unit impacts'!#REF!</definedName>
    <definedName name="PROGAWS" localSheetId="6">'[3]Moving Cooler unit impacts'!#REF!</definedName>
    <definedName name="PROGAWS" localSheetId="12">'[3]Moving Cooler unit impacts'!#REF!</definedName>
    <definedName name="PROGAWS" localSheetId="7">'[4]Moving Cooler unit impacts'!#REF!</definedName>
    <definedName name="PROGAWS" localSheetId="9">'[3]Moving Cooler unit impacts'!#REF!</definedName>
    <definedName name="PROGAWS" localSheetId="10">'[4]Moving Cooler unit impacts'!#REF!</definedName>
    <definedName name="PROGAWS">'[3]Moving Cooler unit impacts'!#REF!</definedName>
    <definedName name="Propensity">OtherVariables!$C$232:$H$236</definedName>
    <definedName name="Scenarios">[5]UserAssumptions!$C$2:$C$4</definedName>
    <definedName name="SCOPE" localSheetId="7">[1]Inputs!$I$34</definedName>
    <definedName name="SCOPE" localSheetId="10">[1]Inputs!$I$34</definedName>
    <definedName name="SCOPE">[2]Inputs!$I$34</definedName>
    <definedName name="SCOPETBL" localSheetId="7">[1]Defaults!$AS$223:$AT$224</definedName>
    <definedName name="SCOPETBL" localSheetId="10">[1]Defaults!$AS$223:$AT$224</definedName>
    <definedName name="SCOPETBL">[2]Defaults!$AS$223:$AT$224</definedName>
    <definedName name="SHIFTPER" localSheetId="7">[1]Defaults!$K$103:$K$109</definedName>
    <definedName name="SHIFTPER" localSheetId="10">[1]Defaults!$K$103:$K$109</definedName>
    <definedName name="SHIFTPER">[2]Defaults!$K$103:$K$109</definedName>
    <definedName name="Speed">OtherVariables!$B$27:$E$38</definedName>
    <definedName name="TRIP1" localSheetId="7">[1]TravCalcs!$N$49</definedName>
    <definedName name="TRIP1" localSheetId="10">[1]TravCalcs!$N$49</definedName>
    <definedName name="TRIP1">[2]TravCalcs!$N$49</definedName>
    <definedName name="TRIP1O" localSheetId="7">[1]TravCalcs!$N$56</definedName>
    <definedName name="TRIP1O" localSheetId="10">[1]TravCalcs!$N$56</definedName>
    <definedName name="TRIP1O">[2]TravCalcs!$N$56</definedName>
    <definedName name="TRIP1P" localSheetId="7">[1]TravCalcs!$N$55</definedName>
    <definedName name="TRIP1P" localSheetId="10">[1]TravCalcs!$N$55</definedName>
    <definedName name="TRIP1P">[2]TravCalcs!$N$55</definedName>
    <definedName name="TRIP2" localSheetId="7">[1]TravCalcs!$O$49</definedName>
    <definedName name="TRIP2" localSheetId="10">[1]TravCalcs!$O$49</definedName>
    <definedName name="TRIP2">[2]TravCalcs!$O$49</definedName>
    <definedName name="TRIP2O" localSheetId="7">[1]TravCalcs!$O$56</definedName>
    <definedName name="TRIP2O" localSheetId="10">[1]TravCalcs!$O$56</definedName>
    <definedName name="TRIP2O">[2]TravCalcs!$O$56</definedName>
    <definedName name="TRIP2P" localSheetId="7">[1]TravCalcs!$O$55</definedName>
    <definedName name="TRIP2P" localSheetId="10">[1]TravCalcs!$O$55</definedName>
    <definedName name="TRIP2P">[2]TravCalcs!$O$55</definedName>
    <definedName name="UEFFILE" localSheetId="7">[1]Inputs!$I$21</definedName>
    <definedName name="UEFFILE" localSheetId="10">[1]Inputs!$I$21</definedName>
    <definedName name="UEFFILE">[2]Inputs!$I$21</definedName>
  </definedNames>
  <calcPr calcId="162913"/>
</workbook>
</file>

<file path=xl/calcChain.xml><?xml version="1.0" encoding="utf-8"?>
<calcChain xmlns="http://schemas.openxmlformats.org/spreadsheetml/2006/main">
  <c r="G44" i="92" l="1"/>
  <c r="E52" i="92" l="1"/>
  <c r="E53" i="92"/>
  <c r="F52" i="92"/>
  <c r="F53" i="92"/>
  <c r="X220" i="79" l="1"/>
  <c r="G92" i="92"/>
  <c r="I74" i="92" l="1"/>
  <c r="H81" i="92" l="1"/>
  <c r="H85" i="92" s="1"/>
  <c r="H90" i="92" s="1"/>
  <c r="D76" i="92" l="1"/>
  <c r="I76" i="92" l="1"/>
  <c r="H76" i="92"/>
  <c r="G76" i="92"/>
  <c r="E294" i="79"/>
  <c r="B172" i="79" l="1"/>
  <c r="B173" i="79"/>
  <c r="B174" i="79"/>
  <c r="B175" i="79"/>
  <c r="B171" i="79"/>
  <c r="X223" i="79"/>
  <c r="Q224" i="79" s="1"/>
  <c r="R224" i="79" s="1"/>
  <c r="X222" i="79"/>
  <c r="X221" i="79"/>
  <c r="E224" i="79"/>
  <c r="W220" i="79" s="1"/>
  <c r="E223" i="79"/>
  <c r="W221" i="79" s="1"/>
  <c r="Q220" i="79" s="1"/>
  <c r="R220" i="79" s="1"/>
  <c r="S220" i="79" s="1"/>
  <c r="E221" i="79"/>
  <c r="W222" i="79" s="1"/>
  <c r="E220" i="79"/>
  <c r="W223" i="79" s="1"/>
  <c r="C281" i="79"/>
  <c r="D33" i="79"/>
  <c r="E33" i="79"/>
  <c r="C33" i="79"/>
  <c r="K33" i="79"/>
  <c r="L33" i="79"/>
  <c r="J33" i="79"/>
  <c r="L187" i="79"/>
  <c r="K187" i="79"/>
  <c r="J187" i="79"/>
  <c r="K18" i="79"/>
  <c r="L18" i="79"/>
  <c r="M18" i="79"/>
  <c r="N18" i="79"/>
  <c r="J18" i="79"/>
  <c r="D18" i="79"/>
  <c r="E18" i="79"/>
  <c r="F18" i="79"/>
  <c r="G18" i="79"/>
  <c r="C18" i="79"/>
  <c r="Q222" i="79" l="1"/>
  <c r="R222" i="79" s="1"/>
  <c r="Q221" i="79"/>
  <c r="R221" i="79" s="1"/>
  <c r="S221" i="79" s="1"/>
  <c r="C218" i="79" s="1"/>
  <c r="C172" i="79" s="1"/>
  <c r="Q223" i="79"/>
  <c r="R223" i="79" s="1"/>
  <c r="S224" i="79"/>
  <c r="C221" i="79" s="1"/>
  <c r="C175" i="79" s="1"/>
  <c r="T224" i="79"/>
  <c r="D221" i="79" s="1"/>
  <c r="D40" i="81"/>
  <c r="S222" i="79" l="1"/>
  <c r="C219" i="79" s="1"/>
  <c r="C173" i="79" s="1"/>
  <c r="T222" i="79"/>
  <c r="D219" i="79" s="1"/>
  <c r="D173" i="79" s="1"/>
  <c r="C217" i="79"/>
  <c r="C171" i="79" s="1"/>
  <c r="T220" i="79"/>
  <c r="D217" i="79" s="1"/>
  <c r="D171" i="79" s="1"/>
  <c r="T223" i="79"/>
  <c r="D220" i="79" s="1"/>
  <c r="D174" i="79" s="1"/>
  <c r="S223" i="79"/>
  <c r="C220" i="79" s="1"/>
  <c r="C174" i="79" s="1"/>
  <c r="T221" i="79"/>
  <c r="D218" i="79" s="1"/>
  <c r="D172" i="79" s="1"/>
  <c r="F33" i="20"/>
  <c r="F42" i="20" s="1"/>
  <c r="D175" i="79"/>
  <c r="F53" i="102" l="1"/>
  <c r="F46" i="102"/>
  <c r="F21" i="102"/>
  <c r="E46" i="81" l="1"/>
  <c r="E45" i="81"/>
  <c r="E44" i="81"/>
  <c r="E43" i="81"/>
  <c r="E42" i="81"/>
  <c r="E41" i="81"/>
  <c r="E40" i="81"/>
  <c r="D46" i="81"/>
  <c r="D45" i="81"/>
  <c r="D44" i="81"/>
  <c r="D43" i="81"/>
  <c r="D42" i="81"/>
  <c r="D41" i="81"/>
  <c r="E32" i="81"/>
  <c r="D32" i="81"/>
  <c r="F45" i="81" l="1"/>
  <c r="F82" i="81" s="1"/>
  <c r="F46" i="81"/>
  <c r="F83" i="81" s="1"/>
  <c r="F43" i="102"/>
  <c r="F44" i="102" s="1"/>
  <c r="G83" i="109"/>
  <c r="E22" i="100"/>
  <c r="E39" i="102"/>
  <c r="E38" i="102"/>
  <c r="E37" i="102"/>
  <c r="E36" i="102"/>
  <c r="E35" i="102"/>
  <c r="E34" i="102"/>
  <c r="E33" i="102"/>
  <c r="D39" i="102"/>
  <c r="D38" i="102"/>
  <c r="D37" i="102"/>
  <c r="D36" i="102"/>
  <c r="D35" i="102"/>
  <c r="D34" i="102"/>
  <c r="E31" i="102"/>
  <c r="E30" i="102"/>
  <c r="E29" i="102"/>
  <c r="E28" i="102"/>
  <c r="E27" i="102"/>
  <c r="E26" i="102"/>
  <c r="D31" i="102"/>
  <c r="D30" i="102"/>
  <c r="D29" i="102"/>
  <c r="D28" i="102"/>
  <c r="D27" i="102"/>
  <c r="D26" i="102"/>
  <c r="D33" i="102"/>
  <c r="E25" i="102"/>
  <c r="D25" i="102"/>
  <c r="E17" i="91"/>
  <c r="D17" i="91"/>
  <c r="E44" i="91"/>
  <c r="E43" i="91"/>
  <c r="D44" i="91"/>
  <c r="D43" i="91"/>
  <c r="E42" i="91"/>
  <c r="D42" i="91"/>
  <c r="E41" i="91"/>
  <c r="D41" i="91"/>
  <c r="E40" i="91"/>
  <c r="D40" i="91"/>
  <c r="E39" i="91"/>
  <c r="D39" i="91"/>
  <c r="E38" i="91"/>
  <c r="D38" i="91"/>
  <c r="E14" i="37"/>
  <c r="D14" i="37"/>
  <c r="E38" i="81"/>
  <c r="E37" i="81"/>
  <c r="E36" i="81"/>
  <c r="E35" i="81"/>
  <c r="E34" i="81"/>
  <c r="E33" i="81"/>
  <c r="D38" i="81"/>
  <c r="D37" i="81"/>
  <c r="D36" i="81"/>
  <c r="D35" i="81"/>
  <c r="D34" i="81"/>
  <c r="D33" i="81"/>
  <c r="F62" i="92"/>
  <c r="F63" i="92"/>
  <c r="E62" i="92"/>
  <c r="E63" i="92"/>
  <c r="F55" i="92"/>
  <c r="F56" i="92"/>
  <c r="E55" i="92"/>
  <c r="E56" i="92"/>
  <c r="D65" i="109"/>
  <c r="E65" i="109"/>
  <c r="D66" i="109"/>
  <c r="E66" i="109"/>
  <c r="E58" i="109"/>
  <c r="E59" i="109"/>
  <c r="D58" i="109"/>
  <c r="D59" i="109"/>
  <c r="D43" i="38"/>
  <c r="E43" i="38"/>
  <c r="D44" i="38"/>
  <c r="E44" i="38"/>
  <c r="F44" i="38" s="1"/>
  <c r="D36" i="38"/>
  <c r="E36" i="38"/>
  <c r="D37" i="38"/>
  <c r="E37" i="38"/>
  <c r="D36" i="37"/>
  <c r="E36" i="37"/>
  <c r="D37" i="37"/>
  <c r="E37" i="37"/>
  <c r="D29" i="37"/>
  <c r="E29" i="37"/>
  <c r="D30" i="37"/>
  <c r="E30" i="37"/>
  <c r="D43" i="36"/>
  <c r="E43" i="36"/>
  <c r="D44" i="36"/>
  <c r="E44" i="36"/>
  <c r="E36" i="36"/>
  <c r="E37" i="36"/>
  <c r="D36" i="36"/>
  <c r="D37" i="36"/>
  <c r="D31" i="36"/>
  <c r="E34" i="100"/>
  <c r="E35" i="100"/>
  <c r="D35" i="100"/>
  <c r="F35" i="100" s="1"/>
  <c r="D34" i="100"/>
  <c r="E27" i="100"/>
  <c r="E28" i="100"/>
  <c r="D27" i="100"/>
  <c r="F27" i="100" s="1"/>
  <c r="D28" i="100"/>
  <c r="D22" i="100"/>
  <c r="F22" i="100" s="1"/>
  <c r="F28" i="100" l="1"/>
  <c r="F34" i="100"/>
  <c r="F38" i="81"/>
  <c r="F91" i="81" s="1"/>
  <c r="F98" i="81" s="1"/>
  <c r="F106" i="81" s="1"/>
  <c r="F33" i="102"/>
  <c r="F38" i="102"/>
  <c r="F45" i="102"/>
  <c r="F47" i="102" s="1"/>
  <c r="F39" i="102"/>
  <c r="F44" i="91"/>
  <c r="F43" i="91"/>
  <c r="F37" i="81"/>
  <c r="F90" i="81" s="1"/>
  <c r="F97" i="81" s="1"/>
  <c r="G63" i="92"/>
  <c r="G56" i="92"/>
  <c r="G55" i="92"/>
  <c r="G62" i="92"/>
  <c r="G59" i="109"/>
  <c r="G58" i="109"/>
  <c r="G66" i="109"/>
  <c r="G65" i="109"/>
  <c r="F36" i="38"/>
  <c r="F43" i="38"/>
  <c r="F37" i="38"/>
  <c r="F30" i="37"/>
  <c r="F37" i="37"/>
  <c r="F36" i="37"/>
  <c r="F29" i="37"/>
  <c r="F43" i="36"/>
  <c r="F37" i="36"/>
  <c r="F36" i="36"/>
  <c r="F44" i="36"/>
  <c r="E50" i="92"/>
  <c r="F22" i="76" l="1"/>
  <c r="F28" i="76" s="1"/>
  <c r="G51" i="109"/>
  <c r="G50" i="109"/>
  <c r="F50" i="102"/>
  <c r="F48" i="102" l="1"/>
  <c r="F52" i="36"/>
  <c r="F28" i="36"/>
  <c r="F49" i="36" s="1"/>
  <c r="F27" i="36"/>
  <c r="F48" i="36" s="1"/>
  <c r="F28" i="38"/>
  <c r="F49" i="38" l="1"/>
  <c r="F51" i="38"/>
  <c r="F46" i="20" l="1"/>
  <c r="G68" i="92" l="1"/>
  <c r="G70" i="92"/>
  <c r="G85" i="109"/>
  <c r="G47" i="109"/>
  <c r="F40" i="109" s="1"/>
  <c r="G46" i="109"/>
  <c r="G37" i="109" s="1"/>
  <c r="G70" i="109" s="1"/>
  <c r="H73" i="109"/>
  <c r="H81" i="109" s="1"/>
  <c r="H71" i="109"/>
  <c r="H70" i="109"/>
  <c r="H78" i="109" s="1"/>
  <c r="F43" i="37"/>
  <c r="F54" i="36"/>
  <c r="F39" i="100"/>
  <c r="G93" i="109" l="1"/>
  <c r="G92" i="109"/>
  <c r="F50" i="37"/>
  <c r="F51" i="37"/>
  <c r="F60" i="36"/>
  <c r="F61" i="36"/>
  <c r="F29" i="36"/>
  <c r="F50" i="36"/>
  <c r="F38" i="109"/>
  <c r="H37" i="109"/>
  <c r="F37" i="109"/>
  <c r="F70" i="109" s="1"/>
  <c r="G38" i="109"/>
  <c r="H38" i="109"/>
  <c r="G39" i="109"/>
  <c r="G72" i="109" s="1"/>
  <c r="H40" i="109"/>
  <c r="F39" i="109"/>
  <c r="G40" i="109"/>
  <c r="H39" i="109"/>
  <c r="F51" i="102"/>
  <c r="H77" i="109"/>
  <c r="H74" i="109"/>
  <c r="E64" i="109"/>
  <c r="D64" i="109"/>
  <c r="E63" i="109"/>
  <c r="D63" i="109"/>
  <c r="E62" i="109"/>
  <c r="D62" i="109"/>
  <c r="E61" i="109"/>
  <c r="D61" i="109"/>
  <c r="E60" i="109"/>
  <c r="D60" i="109"/>
  <c r="E57" i="109"/>
  <c r="D57" i="109"/>
  <c r="E56" i="109"/>
  <c r="D56" i="109"/>
  <c r="E55" i="109"/>
  <c r="D55" i="109"/>
  <c r="E54" i="109"/>
  <c r="D54" i="109"/>
  <c r="E53" i="109"/>
  <c r="D53" i="109"/>
  <c r="G53" i="109" s="1"/>
  <c r="F51" i="36" l="1"/>
  <c r="F53" i="36" s="1"/>
  <c r="F74" i="109"/>
  <c r="F78" i="109" s="1"/>
  <c r="G71" i="109"/>
  <c r="F52" i="102"/>
  <c r="F54" i="102" s="1"/>
  <c r="F55" i="102" s="1"/>
  <c r="F60" i="102" s="1"/>
  <c r="G73" i="109"/>
  <c r="F73" i="109"/>
  <c r="H72" i="109"/>
  <c r="F71" i="109"/>
  <c r="H75" i="109"/>
  <c r="H79" i="109" s="1"/>
  <c r="G57" i="109"/>
  <c r="G61" i="109"/>
  <c r="G64" i="109"/>
  <c r="G63" i="109"/>
  <c r="G62" i="109"/>
  <c r="G54" i="109"/>
  <c r="G56" i="109"/>
  <c r="G60" i="109"/>
  <c r="F72" i="109"/>
  <c r="F76" i="109" s="1"/>
  <c r="G55" i="109"/>
  <c r="G90" i="109" l="1"/>
  <c r="F72" i="36"/>
  <c r="F67" i="36"/>
  <c r="F81" i="36" s="1"/>
  <c r="F88" i="36" s="1"/>
  <c r="F68" i="36"/>
  <c r="F82" i="36" s="1"/>
  <c r="F89" i="36" s="1"/>
  <c r="F97" i="36" s="1"/>
  <c r="G88" i="109"/>
  <c r="H76" i="109"/>
  <c r="H80" i="109"/>
  <c r="F75" i="109"/>
  <c r="F79" i="109" s="1"/>
  <c r="F77" i="109"/>
  <c r="F81" i="109" s="1"/>
  <c r="G77" i="109"/>
  <c r="G81" i="109" s="1"/>
  <c r="F80" i="109"/>
  <c r="G76" i="109"/>
  <c r="G80" i="109" s="1"/>
  <c r="G75" i="109"/>
  <c r="G79" i="109" s="1"/>
  <c r="G74" i="109"/>
  <c r="G78" i="109" s="1"/>
  <c r="G87" i="109"/>
  <c r="G91" i="109"/>
  <c r="G89" i="109"/>
  <c r="F20" i="38"/>
  <c r="F14" i="38"/>
  <c r="F27" i="38"/>
  <c r="G84" i="109" l="1"/>
  <c r="F48" i="38"/>
  <c r="F52" i="38" s="1"/>
  <c r="F50" i="38"/>
  <c r="F58" i="38"/>
  <c r="F40" i="100"/>
  <c r="F41" i="100"/>
  <c r="G100" i="109" l="1"/>
  <c r="G99" i="109"/>
  <c r="F55" i="100"/>
  <c r="F56" i="100"/>
  <c r="F48" i="100"/>
  <c r="F69" i="100" s="1"/>
  <c r="F82" i="100" s="1"/>
  <c r="F49" i="100"/>
  <c r="F70" i="100" s="1"/>
  <c r="F77" i="100" s="1"/>
  <c r="F85" i="100" s="1"/>
  <c r="F29" i="38"/>
  <c r="F53" i="38"/>
  <c r="G94" i="109"/>
  <c r="G104" i="109"/>
  <c r="G98" i="109"/>
  <c r="G96" i="109"/>
  <c r="G97" i="109"/>
  <c r="G95" i="109"/>
  <c r="G108" i="109" l="1"/>
  <c r="G115" i="109"/>
  <c r="G121" i="109"/>
  <c r="G129" i="109" s="1"/>
  <c r="G114" i="109"/>
  <c r="G116" i="109"/>
  <c r="G109" i="109"/>
  <c r="G125" i="109" s="1"/>
  <c r="G111" i="109"/>
  <c r="G118" i="109"/>
  <c r="G127" i="109" s="1"/>
  <c r="G117" i="109"/>
  <c r="G110" i="109"/>
  <c r="G126" i="109" s="1"/>
  <c r="G112" i="109"/>
  <c r="G119" i="109"/>
  <c r="G128" i="109" s="1"/>
  <c r="G113" i="109"/>
  <c r="G120" i="109"/>
  <c r="F76" i="100"/>
  <c r="F55" i="38"/>
  <c r="F54" i="38"/>
  <c r="F20" i="37"/>
  <c r="F41" i="37" s="1"/>
  <c r="F42" i="37" s="1"/>
  <c r="F44" i="37" s="1"/>
  <c r="F57" i="37" l="1"/>
  <c r="F71" i="37" s="1"/>
  <c r="F78" i="37" s="1"/>
  <c r="F58" i="37"/>
  <c r="F72" i="37" s="1"/>
  <c r="F79" i="37" s="1"/>
  <c r="F87" i="37" s="1"/>
  <c r="J193" i="79"/>
  <c r="J192" i="79"/>
  <c r="J191" i="79"/>
  <c r="J190" i="79"/>
  <c r="J189" i="79"/>
  <c r="J188" i="79"/>
  <c r="J186" i="79"/>
  <c r="J185" i="79"/>
  <c r="J184" i="79"/>
  <c r="J183" i="79"/>
  <c r="F33" i="91" l="1"/>
  <c r="F34" i="91"/>
  <c r="F36" i="20"/>
  <c r="F35" i="20"/>
  <c r="F54" i="91" l="1"/>
  <c r="F53" i="91"/>
  <c r="F29" i="91"/>
  <c r="F28" i="91"/>
  <c r="F47" i="20"/>
  <c r="F49" i="20" s="1"/>
  <c r="F51" i="20" s="1"/>
  <c r="F31" i="20"/>
  <c r="F30" i="20"/>
  <c r="F36" i="81"/>
  <c r="F35" i="81"/>
  <c r="F34" i="81"/>
  <c r="F32" i="81"/>
  <c r="F29" i="81"/>
  <c r="F28" i="81"/>
  <c r="F50" i="81"/>
  <c r="I70" i="92"/>
  <c r="H69" i="92"/>
  <c r="F61" i="92"/>
  <c r="E61" i="92"/>
  <c r="F60" i="92"/>
  <c r="E60" i="92"/>
  <c r="F59" i="92"/>
  <c r="E59" i="92"/>
  <c r="F58" i="92"/>
  <c r="E58" i="92"/>
  <c r="F57" i="92"/>
  <c r="E57" i="92"/>
  <c r="F54" i="92"/>
  <c r="E54" i="92"/>
  <c r="F51" i="92"/>
  <c r="E51" i="92"/>
  <c r="F50" i="92"/>
  <c r="G50" i="92" s="1"/>
  <c r="H71" i="92"/>
  <c r="G13" i="92"/>
  <c r="D69" i="92" s="1"/>
  <c r="E42" i="38"/>
  <c r="D42" i="38"/>
  <c r="E41" i="38"/>
  <c r="D41" i="38"/>
  <c r="E40" i="38"/>
  <c r="D40" i="38"/>
  <c r="E39" i="38"/>
  <c r="D39" i="38"/>
  <c r="E38" i="38"/>
  <c r="D38" i="38"/>
  <c r="E35" i="38"/>
  <c r="D35" i="38"/>
  <c r="E34" i="38"/>
  <c r="D34" i="38"/>
  <c r="E33" i="38"/>
  <c r="D33" i="38"/>
  <c r="E32" i="38"/>
  <c r="D32" i="38"/>
  <c r="E31" i="38"/>
  <c r="D31" i="38"/>
  <c r="F62" i="37"/>
  <c r="E35" i="37"/>
  <c r="D35" i="37"/>
  <c r="E34" i="37"/>
  <c r="D34" i="37"/>
  <c r="E33" i="37"/>
  <c r="D33" i="37"/>
  <c r="E32" i="37"/>
  <c r="D32" i="37"/>
  <c r="E31" i="37"/>
  <c r="D31" i="37"/>
  <c r="E28" i="37"/>
  <c r="D28" i="37"/>
  <c r="E27" i="37"/>
  <c r="D27" i="37"/>
  <c r="E26" i="37"/>
  <c r="D26" i="37"/>
  <c r="E25" i="37"/>
  <c r="D25" i="37"/>
  <c r="E24" i="37"/>
  <c r="D24" i="37"/>
  <c r="F24" i="37" s="1"/>
  <c r="F23" i="37"/>
  <c r="E42" i="36"/>
  <c r="D42" i="36"/>
  <c r="E41" i="36"/>
  <c r="D41" i="36"/>
  <c r="E40" i="36"/>
  <c r="D40" i="36"/>
  <c r="E39" i="36"/>
  <c r="D39" i="36"/>
  <c r="E38" i="36"/>
  <c r="D38" i="36"/>
  <c r="E35" i="36"/>
  <c r="D35" i="36"/>
  <c r="E34" i="36"/>
  <c r="D34" i="36"/>
  <c r="E33" i="36"/>
  <c r="D33" i="36"/>
  <c r="E32" i="36"/>
  <c r="D32" i="36"/>
  <c r="E31" i="36"/>
  <c r="F31" i="36" s="1"/>
  <c r="F30" i="36"/>
  <c r="I26" i="76"/>
  <c r="F26" i="76"/>
  <c r="D32" i="76" s="1"/>
  <c r="I25" i="76"/>
  <c r="F25" i="76"/>
  <c r="I24" i="76"/>
  <c r="F24" i="76"/>
  <c r="F23" i="76"/>
  <c r="F27" i="76" s="1"/>
  <c r="I22" i="76"/>
  <c r="I28" i="76" s="1"/>
  <c r="I94" i="76" s="1"/>
  <c r="E33" i="100"/>
  <c r="D33" i="100"/>
  <c r="E32" i="100"/>
  <c r="D32" i="100"/>
  <c r="E31" i="100"/>
  <c r="D31" i="100"/>
  <c r="E30" i="100"/>
  <c r="D30" i="100"/>
  <c r="E29" i="100"/>
  <c r="D29" i="100"/>
  <c r="E26" i="100"/>
  <c r="D26" i="100"/>
  <c r="E25" i="100"/>
  <c r="D25" i="100"/>
  <c r="E24" i="100"/>
  <c r="D24" i="100"/>
  <c r="E23" i="100"/>
  <c r="D23" i="100"/>
  <c r="G52" i="92" l="1"/>
  <c r="G54" i="92"/>
  <c r="G58" i="92"/>
  <c r="G60" i="92"/>
  <c r="F48" i="91"/>
  <c r="F31" i="38"/>
  <c r="E51" i="20"/>
  <c r="D51" i="20"/>
  <c r="F51" i="81"/>
  <c r="G100" i="92"/>
  <c r="G101" i="92"/>
  <c r="G51" i="92"/>
  <c r="G57" i="92"/>
  <c r="G95" i="92" s="1"/>
  <c r="G61" i="92"/>
  <c r="G99" i="92" s="1"/>
  <c r="E53" i="76"/>
  <c r="D59" i="76"/>
  <c r="D60" i="76"/>
  <c r="D53" i="76"/>
  <c r="D52" i="76"/>
  <c r="E59" i="76"/>
  <c r="E60" i="76"/>
  <c r="E52" i="76"/>
  <c r="G41" i="76"/>
  <c r="H38" i="76"/>
  <c r="G44" i="76"/>
  <c r="G36" i="76"/>
  <c r="G45" i="76"/>
  <c r="G38" i="76"/>
  <c r="H44" i="76"/>
  <c r="H45" i="76"/>
  <c r="G37" i="76"/>
  <c r="H37" i="76"/>
  <c r="E45" i="76"/>
  <c r="E37" i="76"/>
  <c r="D37" i="76"/>
  <c r="D45" i="76"/>
  <c r="E38" i="76"/>
  <c r="E44" i="76"/>
  <c r="D36" i="76"/>
  <c r="D44" i="76"/>
  <c r="D38" i="76"/>
  <c r="E36" i="76"/>
  <c r="G33" i="76"/>
  <c r="G43" i="76"/>
  <c r="G39" i="76"/>
  <c r="G40" i="76"/>
  <c r="I23" i="76"/>
  <c r="I27" i="76" s="1"/>
  <c r="G50" i="76" s="1"/>
  <c r="G34" i="76"/>
  <c r="E55" i="76"/>
  <c r="E49" i="76"/>
  <c r="D57" i="76"/>
  <c r="D51" i="76"/>
  <c r="D47" i="76"/>
  <c r="E58" i="76"/>
  <c r="E54" i="76"/>
  <c r="E48" i="76"/>
  <c r="D56" i="76"/>
  <c r="D50" i="76"/>
  <c r="E57" i="76"/>
  <c r="E51" i="76"/>
  <c r="E47" i="76"/>
  <c r="D55" i="76"/>
  <c r="D49" i="76"/>
  <c r="E56" i="76"/>
  <c r="E50" i="76"/>
  <c r="D58" i="76"/>
  <c r="D54" i="76"/>
  <c r="D48" i="76"/>
  <c r="E40" i="76"/>
  <c r="E34" i="76"/>
  <c r="D42" i="76"/>
  <c r="E43" i="76"/>
  <c r="E39" i="76"/>
  <c r="E33" i="76"/>
  <c r="D41" i="76"/>
  <c r="D35" i="76"/>
  <c r="E42" i="76"/>
  <c r="E32" i="76"/>
  <c r="D40" i="76"/>
  <c r="D34" i="76"/>
  <c r="E41" i="76"/>
  <c r="E35" i="76"/>
  <c r="D43" i="76"/>
  <c r="D39" i="76"/>
  <c r="D33" i="76"/>
  <c r="G35" i="76"/>
  <c r="H43" i="76"/>
  <c r="H39" i="76"/>
  <c r="H33" i="76"/>
  <c r="H42" i="76"/>
  <c r="H36" i="76"/>
  <c r="H32" i="76"/>
  <c r="H41" i="76"/>
  <c r="H35" i="76"/>
  <c r="H40" i="76"/>
  <c r="H34" i="76"/>
  <c r="G32" i="76"/>
  <c r="G42" i="76"/>
  <c r="F33" i="81"/>
  <c r="F23" i="100"/>
  <c r="F29" i="100"/>
  <c r="F33" i="100"/>
  <c r="F39" i="38"/>
  <c r="F41" i="38"/>
  <c r="F39" i="91"/>
  <c r="F41" i="91"/>
  <c r="F24" i="100"/>
  <c r="F26" i="100"/>
  <c r="F30" i="100"/>
  <c r="F32" i="100"/>
  <c r="F25" i="37"/>
  <c r="F27" i="37"/>
  <c r="F31" i="37"/>
  <c r="F33" i="37"/>
  <c r="F35" i="37"/>
  <c r="F26" i="37"/>
  <c r="F28" i="37"/>
  <c r="F32" i="37"/>
  <c r="F34" i="37"/>
  <c r="G59" i="92"/>
  <c r="F25" i="100"/>
  <c r="F34" i="36"/>
  <c r="F34" i="38"/>
  <c r="F31" i="100"/>
  <c r="G53" i="92"/>
  <c r="F35" i="36"/>
  <c r="F41" i="36"/>
  <c r="F40" i="91"/>
  <c r="F56" i="91"/>
  <c r="F38" i="91"/>
  <c r="F42" i="91"/>
  <c r="F40" i="20"/>
  <c r="I68" i="92"/>
  <c r="I73" i="92" s="1"/>
  <c r="D70" i="92"/>
  <c r="G71" i="92"/>
  <c r="G73" i="92" s="1"/>
  <c r="G74" i="92" s="1"/>
  <c r="H68" i="92"/>
  <c r="I69" i="92"/>
  <c r="D71" i="92"/>
  <c r="F38" i="38"/>
  <c r="F35" i="38"/>
  <c r="F40" i="36"/>
  <c r="F32" i="36"/>
  <c r="F42" i="36"/>
  <c r="F33" i="36"/>
  <c r="F39" i="36"/>
  <c r="F38" i="36"/>
  <c r="F55" i="36" s="1"/>
  <c r="F32" i="38"/>
  <c r="F33" i="38"/>
  <c r="F40" i="38"/>
  <c r="F42" i="38"/>
  <c r="F60" i="100"/>
  <c r="F41" i="20"/>
  <c r="F56" i="38"/>
  <c r="F49" i="91"/>
  <c r="G51" i="76" l="1"/>
  <c r="I40" i="76"/>
  <c r="I70" i="76" s="1"/>
  <c r="D73" i="92"/>
  <c r="D74" i="92" s="1"/>
  <c r="H73" i="92"/>
  <c r="H74" i="92" s="1"/>
  <c r="D75" i="92"/>
  <c r="G96" i="92"/>
  <c r="G98" i="92"/>
  <c r="G97" i="92"/>
  <c r="I38" i="76"/>
  <c r="I68" i="76" s="1"/>
  <c r="I42" i="76"/>
  <c r="I72" i="76" s="1"/>
  <c r="F38" i="76"/>
  <c r="F68" i="76" s="1"/>
  <c r="F44" i="76"/>
  <c r="F74" i="76" s="1"/>
  <c r="F37" i="76"/>
  <c r="F67" i="76" s="1"/>
  <c r="F43" i="76"/>
  <c r="F73" i="76" s="1"/>
  <c r="F53" i="76"/>
  <c r="F83" i="76" s="1"/>
  <c r="I32" i="76"/>
  <c r="I62" i="76" s="1"/>
  <c r="F96" i="91"/>
  <c r="F58" i="91"/>
  <c r="E58" i="91" s="1"/>
  <c r="D54" i="20"/>
  <c r="D59" i="20"/>
  <c r="D60" i="20"/>
  <c r="D58" i="20"/>
  <c r="E60" i="20"/>
  <c r="E59" i="20"/>
  <c r="F46" i="37"/>
  <c r="F67" i="37" s="1"/>
  <c r="F46" i="100"/>
  <c r="F47" i="100"/>
  <c r="F68" i="100" s="1"/>
  <c r="F81" i="100" s="1"/>
  <c r="F52" i="81"/>
  <c r="F57" i="81"/>
  <c r="F63" i="81" s="1"/>
  <c r="F70" i="81" s="1"/>
  <c r="F58" i="81"/>
  <c r="F64" i="38"/>
  <c r="F65" i="38"/>
  <c r="F49" i="37"/>
  <c r="F52" i="37"/>
  <c r="F59" i="36"/>
  <c r="F80" i="36" s="1"/>
  <c r="F87" i="36" s="1"/>
  <c r="F96" i="36" s="1"/>
  <c r="F45" i="76"/>
  <c r="F75" i="76" s="1"/>
  <c r="I43" i="76"/>
  <c r="I73" i="76" s="1"/>
  <c r="I45" i="76"/>
  <c r="I75" i="76" s="1"/>
  <c r="H50" i="76"/>
  <c r="I50" i="76" s="1"/>
  <c r="I80" i="76" s="1"/>
  <c r="G60" i="76"/>
  <c r="G52" i="76"/>
  <c r="H53" i="76"/>
  <c r="H59" i="76"/>
  <c r="H60" i="76"/>
  <c r="G53" i="76"/>
  <c r="H52" i="76"/>
  <c r="G59" i="76"/>
  <c r="I37" i="76"/>
  <c r="I67" i="76" s="1"/>
  <c r="F60" i="76"/>
  <c r="F90" i="76" s="1"/>
  <c r="I41" i="76"/>
  <c r="I71" i="76" s="1"/>
  <c r="I33" i="76"/>
  <c r="I63" i="76" s="1"/>
  <c r="H48" i="76"/>
  <c r="F59" i="76"/>
  <c r="F89" i="76" s="1"/>
  <c r="H58" i="76"/>
  <c r="I44" i="76"/>
  <c r="I74" i="76" s="1"/>
  <c r="F52" i="76"/>
  <c r="F82" i="76" s="1"/>
  <c r="F36" i="76"/>
  <c r="F66" i="76" s="1"/>
  <c r="I39" i="76"/>
  <c r="I69" i="76" s="1"/>
  <c r="G57" i="76"/>
  <c r="G55" i="76"/>
  <c r="H55" i="76"/>
  <c r="F35" i="76"/>
  <c r="F65" i="76" s="1"/>
  <c r="F32" i="76"/>
  <c r="F62" i="76" s="1"/>
  <c r="I34" i="76"/>
  <c r="I64" i="76" s="1"/>
  <c r="G54" i="76"/>
  <c r="H51" i="76"/>
  <c r="I51" i="76" s="1"/>
  <c r="I81" i="76" s="1"/>
  <c r="H56" i="76"/>
  <c r="F41" i="76"/>
  <c r="F71" i="76" s="1"/>
  <c r="F42" i="76"/>
  <c r="F72" i="76" s="1"/>
  <c r="G56" i="76"/>
  <c r="G58" i="76"/>
  <c r="G49" i="76"/>
  <c r="H57" i="76"/>
  <c r="H49" i="76"/>
  <c r="G48" i="76"/>
  <c r="G47" i="76"/>
  <c r="H47" i="76"/>
  <c r="H54" i="76"/>
  <c r="I36" i="76"/>
  <c r="I66" i="76" s="1"/>
  <c r="I35" i="76"/>
  <c r="I65" i="76" s="1"/>
  <c r="F43" i="100"/>
  <c r="F47" i="37"/>
  <c r="F44" i="100"/>
  <c r="F65" i="100" s="1"/>
  <c r="F72" i="100" s="1"/>
  <c r="F50" i="100"/>
  <c r="F51" i="100"/>
  <c r="F48" i="37"/>
  <c r="F69" i="37" s="1"/>
  <c r="F76" i="37" s="1"/>
  <c r="F85" i="37" s="1"/>
  <c r="F56" i="37"/>
  <c r="F53" i="37"/>
  <c r="F54" i="100"/>
  <c r="F55" i="37"/>
  <c r="F45" i="100"/>
  <c r="F66" i="100" s="1"/>
  <c r="F73" i="100" s="1"/>
  <c r="F45" i="37"/>
  <c r="F66" i="37" s="1"/>
  <c r="F73" i="37" s="1"/>
  <c r="F54" i="37"/>
  <c r="F53" i="100"/>
  <c r="F52" i="100"/>
  <c r="F65" i="36"/>
  <c r="F58" i="36"/>
  <c r="F79" i="36" s="1"/>
  <c r="F86" i="36" s="1"/>
  <c r="F95" i="36" s="1"/>
  <c r="F57" i="36"/>
  <c r="I75" i="92"/>
  <c r="G81" i="92" s="1"/>
  <c r="F33" i="76"/>
  <c r="F63" i="76" s="1"/>
  <c r="F34" i="76"/>
  <c r="F64" i="76" s="1"/>
  <c r="F39" i="76"/>
  <c r="F69" i="76" s="1"/>
  <c r="F40" i="76"/>
  <c r="F70" i="76" s="1"/>
  <c r="G75" i="92"/>
  <c r="F59" i="38"/>
  <c r="F56" i="36"/>
  <c r="F77" i="36" s="1"/>
  <c r="F57" i="38"/>
  <c r="F60" i="38"/>
  <c r="F89" i="20"/>
  <c r="F66" i="36"/>
  <c r="E57" i="20"/>
  <c r="F63" i="38"/>
  <c r="F62" i="38"/>
  <c r="F61" i="38"/>
  <c r="D56" i="20"/>
  <c r="D57" i="20"/>
  <c r="D55" i="20"/>
  <c r="F62" i="36"/>
  <c r="F76" i="36" s="1"/>
  <c r="F83" i="36" s="1"/>
  <c r="F63" i="36"/>
  <c r="F64" i="36"/>
  <c r="F50" i="91"/>
  <c r="F43" i="20"/>
  <c r="H75" i="92" l="1"/>
  <c r="I100" i="76"/>
  <c r="I48" i="76"/>
  <c r="I78" i="76" s="1"/>
  <c r="F78" i="36"/>
  <c r="F93" i="36"/>
  <c r="F84" i="36"/>
  <c r="F85" i="38"/>
  <c r="F92" i="38" s="1"/>
  <c r="F83" i="38"/>
  <c r="F90" i="38" s="1"/>
  <c r="F99" i="38" s="1"/>
  <c r="F68" i="37"/>
  <c r="F74" i="37"/>
  <c r="F83" i="37"/>
  <c r="F70" i="37"/>
  <c r="F77" i="37" s="1"/>
  <c r="F86" i="37" s="1"/>
  <c r="F67" i="100"/>
  <c r="F74" i="100" s="1"/>
  <c r="F83" i="100" s="1"/>
  <c r="F64" i="100"/>
  <c r="F71" i="100" s="1"/>
  <c r="F75" i="100"/>
  <c r="F84" i="100" s="1"/>
  <c r="F64" i="81"/>
  <c r="F71" i="81" s="1"/>
  <c r="G78" i="92"/>
  <c r="H78" i="92"/>
  <c r="H79" i="92"/>
  <c r="G79" i="92"/>
  <c r="G83" i="92" s="1"/>
  <c r="G88" i="92" s="1"/>
  <c r="H80" i="92"/>
  <c r="H84" i="92" s="1"/>
  <c r="H89" i="92" s="1"/>
  <c r="G80" i="92"/>
  <c r="G84" i="92" s="1"/>
  <c r="G85" i="92"/>
  <c r="E64" i="91"/>
  <c r="E67" i="91"/>
  <c r="E63" i="91"/>
  <c r="E66" i="91"/>
  <c r="E62" i="91"/>
  <c r="E61" i="91"/>
  <c r="E65" i="91"/>
  <c r="D58" i="91"/>
  <c r="F60" i="20"/>
  <c r="F76" i="20" s="1"/>
  <c r="F59" i="20"/>
  <c r="F75" i="20" s="1"/>
  <c r="F62" i="81"/>
  <c r="F69" i="81" s="1"/>
  <c r="F61" i="81"/>
  <c r="F68" i="81" s="1"/>
  <c r="F67" i="81"/>
  <c r="F74" i="81" s="1"/>
  <c r="F66" i="81"/>
  <c r="F73" i="81" s="1"/>
  <c r="F65" i="81"/>
  <c r="F72" i="81" s="1"/>
  <c r="F71" i="38"/>
  <c r="F72" i="38"/>
  <c r="F86" i="38" s="1"/>
  <c r="F93" i="38" s="1"/>
  <c r="F101" i="38" s="1"/>
  <c r="I59" i="76"/>
  <c r="I89" i="76" s="1"/>
  <c r="I53" i="76"/>
  <c r="I83" i="76" s="1"/>
  <c r="I104" i="76" s="1"/>
  <c r="I111" i="76" s="1"/>
  <c r="I119" i="76" s="1"/>
  <c r="I52" i="76"/>
  <c r="I82" i="76" s="1"/>
  <c r="I103" i="76" s="1"/>
  <c r="I110" i="76" s="1"/>
  <c r="I60" i="76"/>
  <c r="I90" i="76" s="1"/>
  <c r="I58" i="76"/>
  <c r="I88" i="76" s="1"/>
  <c r="I56" i="76"/>
  <c r="I86" i="76" s="1"/>
  <c r="I57" i="76"/>
  <c r="I87" i="76" s="1"/>
  <c r="I101" i="76" s="1"/>
  <c r="I108" i="76" s="1"/>
  <c r="I117" i="76" s="1"/>
  <c r="I47" i="76"/>
  <c r="I77" i="76" s="1"/>
  <c r="I98" i="76" s="1"/>
  <c r="I105" i="76" s="1"/>
  <c r="I55" i="76"/>
  <c r="I85" i="76" s="1"/>
  <c r="I54" i="76"/>
  <c r="I84" i="76" s="1"/>
  <c r="I49" i="76"/>
  <c r="I79" i="76" s="1"/>
  <c r="F54" i="76"/>
  <c r="F84" i="76" s="1"/>
  <c r="F47" i="76"/>
  <c r="F77" i="76" s="1"/>
  <c r="F57" i="76"/>
  <c r="F87" i="76" s="1"/>
  <c r="F56" i="76"/>
  <c r="F86" i="76" s="1"/>
  <c r="F49" i="76"/>
  <c r="F79" i="76" s="1"/>
  <c r="F48" i="76"/>
  <c r="F78" i="76" s="1"/>
  <c r="I99" i="76" s="1"/>
  <c r="F58" i="76"/>
  <c r="F88" i="76" s="1"/>
  <c r="I102" i="76" s="1"/>
  <c r="I109" i="76" s="1"/>
  <c r="I118" i="76" s="1"/>
  <c r="F51" i="76"/>
  <c r="F81" i="76" s="1"/>
  <c r="F50" i="76"/>
  <c r="F80" i="76" s="1"/>
  <c r="F55" i="76"/>
  <c r="F85" i="76" s="1"/>
  <c r="F67" i="38"/>
  <c r="F81" i="38" s="1"/>
  <c r="F70" i="38"/>
  <c r="F84" i="38" s="1"/>
  <c r="F91" i="38" s="1"/>
  <c r="F100" i="38" s="1"/>
  <c r="F69" i="38"/>
  <c r="F68" i="38"/>
  <c r="F82" i="38" s="1"/>
  <c r="F76" i="38"/>
  <c r="F66" i="38"/>
  <c r="F80" i="38" s="1"/>
  <c r="F87" i="38" s="1"/>
  <c r="F44" i="20"/>
  <c r="F45" i="20" s="1"/>
  <c r="F48" i="20" s="1"/>
  <c r="F50" i="20" s="1"/>
  <c r="F88" i="20" s="1"/>
  <c r="E54" i="20"/>
  <c r="F54" i="20" s="1"/>
  <c r="F70" i="20" s="1"/>
  <c r="E58" i="20"/>
  <c r="F58" i="20" s="1"/>
  <c r="F74" i="20" s="1"/>
  <c r="F57" i="20"/>
  <c r="F73" i="20" s="1"/>
  <c r="E55" i="20"/>
  <c r="F55" i="20" s="1"/>
  <c r="F71" i="20" s="1"/>
  <c r="E56" i="20"/>
  <c r="F56" i="20" s="1"/>
  <c r="F72" i="20" s="1"/>
  <c r="F51" i="91"/>
  <c r="F52" i="91" s="1"/>
  <c r="F55" i="91" s="1"/>
  <c r="F57" i="91" s="1"/>
  <c r="F59" i="91" s="1"/>
  <c r="I106" i="76" l="1"/>
  <c r="I115" i="76"/>
  <c r="I107" i="76"/>
  <c r="I116" i="76"/>
  <c r="F85" i="36"/>
  <c r="F94" i="36"/>
  <c r="F88" i="38"/>
  <c r="F97" i="38"/>
  <c r="F89" i="38"/>
  <c r="F98" i="38"/>
  <c r="F75" i="37"/>
  <c r="F84" i="37"/>
  <c r="H83" i="92"/>
  <c r="H88" i="92" s="1"/>
  <c r="H82" i="92"/>
  <c r="H87" i="92" s="1"/>
  <c r="G82" i="92"/>
  <c r="G89" i="92"/>
  <c r="D66" i="91"/>
  <c r="F66" i="91" s="1"/>
  <c r="F82" i="91" s="1"/>
  <c r="D62" i="91"/>
  <c r="F62" i="91" s="1"/>
  <c r="F78" i="91" s="1"/>
  <c r="D65" i="91"/>
  <c r="F65" i="91" s="1"/>
  <c r="F81" i="91" s="1"/>
  <c r="D64" i="91"/>
  <c r="F64" i="91" s="1"/>
  <c r="F80" i="91" s="1"/>
  <c r="D67" i="91"/>
  <c r="F67" i="91" s="1"/>
  <c r="F83" i="91" s="1"/>
  <c r="D63" i="91"/>
  <c r="F63" i="91" s="1"/>
  <c r="F79" i="91" s="1"/>
  <c r="D61" i="91"/>
  <c r="F61" i="91" s="1"/>
  <c r="F77" i="91" s="1"/>
  <c r="F95" i="91"/>
  <c r="D59" i="91"/>
  <c r="E59" i="91"/>
  <c r="G90" i="92"/>
  <c r="F52" i="20"/>
  <c r="E52" i="20" s="1"/>
  <c r="G87" i="92" l="1"/>
  <c r="G91" i="92" s="1"/>
  <c r="D73" i="91"/>
  <c r="D75" i="91"/>
  <c r="D71" i="91"/>
  <c r="D69" i="91"/>
  <c r="D74" i="91"/>
  <c r="D70" i="91"/>
  <c r="D72" i="91"/>
  <c r="E75" i="91"/>
  <c r="E71" i="91"/>
  <c r="E74" i="91"/>
  <c r="E70" i="91"/>
  <c r="E69" i="91"/>
  <c r="E73" i="91"/>
  <c r="E72" i="91"/>
  <c r="E68" i="20"/>
  <c r="E66" i="20"/>
  <c r="E67" i="20"/>
  <c r="D52" i="20"/>
  <c r="E63" i="20"/>
  <c r="E64" i="20"/>
  <c r="E65" i="20"/>
  <c r="E62" i="20"/>
  <c r="G93" i="92" l="1"/>
  <c r="F71" i="91"/>
  <c r="F87" i="91" s="1"/>
  <c r="F101" i="91" s="1"/>
  <c r="F72" i="91"/>
  <c r="F88" i="91" s="1"/>
  <c r="F102" i="91" s="1"/>
  <c r="F109" i="91" s="1"/>
  <c r="F118" i="91" s="1"/>
  <c r="F69" i="91"/>
  <c r="F85" i="91" s="1"/>
  <c r="F99" i="91" s="1"/>
  <c r="F106" i="91" s="1"/>
  <c r="F70" i="91"/>
  <c r="F86" i="91" s="1"/>
  <c r="F100" i="91" s="1"/>
  <c r="F75" i="91"/>
  <c r="F91" i="91" s="1"/>
  <c r="F105" i="91" s="1"/>
  <c r="F112" i="91" s="1"/>
  <c r="F120" i="91" s="1"/>
  <c r="F74" i="91"/>
  <c r="F90" i="91" s="1"/>
  <c r="F104" i="91" s="1"/>
  <c r="F111" i="91" s="1"/>
  <c r="F73" i="91"/>
  <c r="F89" i="91" s="1"/>
  <c r="F103" i="91" s="1"/>
  <c r="F110" i="91" s="1"/>
  <c r="F119" i="91" s="1"/>
  <c r="D62" i="20"/>
  <c r="F62" i="20" s="1"/>
  <c r="F78" i="20" s="1"/>
  <c r="F92" i="20" s="1"/>
  <c r="F99" i="20" s="1"/>
  <c r="D68" i="20"/>
  <c r="F68" i="20" s="1"/>
  <c r="F84" i="20" s="1"/>
  <c r="F98" i="20" s="1"/>
  <c r="F105" i="20" s="1"/>
  <c r="F113" i="20" s="1"/>
  <c r="D67" i="20"/>
  <c r="F67" i="20" s="1"/>
  <c r="F83" i="20" s="1"/>
  <c r="F97" i="20" s="1"/>
  <c r="F104" i="20" s="1"/>
  <c r="D65" i="20"/>
  <c r="F65" i="20" s="1"/>
  <c r="F81" i="20" s="1"/>
  <c r="F95" i="20" s="1"/>
  <c r="F102" i="20" s="1"/>
  <c r="F111" i="20" s="1"/>
  <c r="D66" i="20"/>
  <c r="F66" i="20" s="1"/>
  <c r="F82" i="20" s="1"/>
  <c r="F96" i="20" s="1"/>
  <c r="F103" i="20" s="1"/>
  <c r="F112" i="20" s="1"/>
  <c r="D64" i="20"/>
  <c r="F64" i="20" s="1"/>
  <c r="F80" i="20" s="1"/>
  <c r="F94" i="20" s="1"/>
  <c r="D63" i="20"/>
  <c r="F63" i="20" s="1"/>
  <c r="F79" i="20" s="1"/>
  <c r="F93" i="20" s="1"/>
  <c r="F107" i="91" l="1"/>
  <c r="F116" i="91"/>
  <c r="F108" i="91"/>
  <c r="F117" i="91"/>
  <c r="G107" i="92"/>
  <c r="H112" i="92"/>
  <c r="F100" i="20"/>
  <c r="F109" i="20"/>
  <c r="F101" i="20"/>
  <c r="F110" i="20"/>
  <c r="G103" i="92"/>
  <c r="G108" i="92"/>
  <c r="G102" i="92"/>
  <c r="G106" i="92"/>
  <c r="G104" i="92"/>
  <c r="G105" i="92"/>
  <c r="F40" i="81"/>
  <c r="F77" i="81" s="1"/>
  <c r="F85" i="81" s="1"/>
  <c r="F92" i="81" s="1"/>
  <c r="F43" i="81"/>
  <c r="F80" i="81" s="1"/>
  <c r="F88" i="81" s="1"/>
  <c r="F95" i="81" s="1"/>
  <c r="F104" i="81" s="1"/>
  <c r="F42" i="81"/>
  <c r="F79" i="81" s="1"/>
  <c r="F87" i="81" s="1"/>
  <c r="F41" i="81"/>
  <c r="F78" i="81" s="1"/>
  <c r="F86" i="81" s="1"/>
  <c r="F44" i="81"/>
  <c r="F102" i="81" l="1"/>
  <c r="F93" i="81"/>
  <c r="F94" i="81"/>
  <c r="F103" i="81"/>
  <c r="H126" i="92"/>
  <c r="H135" i="92" s="1"/>
  <c r="H119" i="92"/>
  <c r="H125" i="92"/>
  <c r="H118" i="92"/>
  <c r="H134" i="92" s="1"/>
  <c r="H129" i="92"/>
  <c r="H137" i="92" s="1"/>
  <c r="H122" i="92"/>
  <c r="H120" i="92"/>
  <c r="H127" i="92"/>
  <c r="H136" i="92" s="1"/>
  <c r="H124" i="92"/>
  <c r="H117" i="92"/>
  <c r="H133" i="92" s="1"/>
  <c r="H123" i="92"/>
  <c r="H116" i="92"/>
  <c r="H128" i="92"/>
  <c r="H121" i="92"/>
  <c r="F81" i="81"/>
  <c r="F89" i="81" s="1"/>
  <c r="F96" i="81" s="1"/>
  <c r="F105" i="81" s="1"/>
  <c r="F31" i="102" l="1"/>
  <c r="F30" i="102"/>
  <c r="F68" i="102" l="1"/>
  <c r="F76" i="102" s="1"/>
  <c r="F83" i="102" s="1"/>
  <c r="F69" i="102"/>
  <c r="F77" i="102"/>
  <c r="F84" i="102" s="1"/>
  <c r="F92" i="102" s="1"/>
  <c r="F37" i="102"/>
  <c r="F34" i="102"/>
  <c r="F26" i="102"/>
  <c r="F25" i="102"/>
  <c r="F27" i="102"/>
  <c r="F29" i="102"/>
  <c r="F35" i="102"/>
  <c r="F36" i="102"/>
  <c r="F28" i="102"/>
  <c r="F73" i="102" l="1"/>
  <c r="F63" i="102"/>
  <c r="F71" i="102" s="1"/>
  <c r="F78" i="102" s="1"/>
  <c r="F64" i="102"/>
  <c r="F72" i="102" s="1"/>
  <c r="F67" i="102"/>
  <c r="F75" i="102" s="1"/>
  <c r="F82" i="102" s="1"/>
  <c r="F91" i="102" s="1"/>
  <c r="F65" i="102"/>
  <c r="F66" i="102"/>
  <c r="F74" i="102" s="1"/>
  <c r="F81" i="102" s="1"/>
  <c r="F90" i="102" s="1"/>
  <c r="F88" i="102" l="1"/>
  <c r="F79" i="102"/>
  <c r="F80" i="102"/>
  <c r="F89" i="102"/>
</calcChain>
</file>

<file path=xl/comments1.xml><?xml version="1.0" encoding="utf-8"?>
<comments xmlns="http://schemas.openxmlformats.org/spreadsheetml/2006/main">
  <authors>
    <author>David Kall</author>
  </authors>
  <commentList>
    <comment ref="C8" authorId="0" shapeId="0">
      <text>
        <r>
          <rPr>
            <sz val="9"/>
            <color indexed="81"/>
            <rFont val="Tahoma"/>
            <family val="2"/>
          </rPr>
          <t>See delays associated with varying level of service for signalized intersections on the "Other Variables" tab</t>
        </r>
      </text>
    </comment>
    <comment ref="C9" authorId="0" shapeId="0">
      <text>
        <r>
          <rPr>
            <sz val="9"/>
            <color indexed="81"/>
            <rFont val="Tahoma"/>
            <family val="2"/>
          </rPr>
          <t>Not required butwill produce more accurate results if provided. If unknown, leave blank.</t>
        </r>
      </text>
    </comment>
  </commentList>
</comments>
</file>

<file path=xl/comments10.xml><?xml version="1.0" encoding="utf-8"?>
<comments xmlns="http://schemas.openxmlformats.org/spreadsheetml/2006/main">
  <authors>
    <author>Sarah Windmiller</author>
  </authors>
  <commentList>
    <comment ref="C10" authorId="0" shapeId="0">
      <text>
        <r>
          <rPr>
            <sz val="9"/>
            <color indexed="81"/>
            <rFont val="Tahoma"/>
            <family val="2"/>
          </rPr>
          <t xml:space="preserve">Use travel demand model to provide sum of daily trips from origin to destination and from destination back to origin.
</t>
        </r>
      </text>
    </comment>
    <comment ref="C11" authorId="0" shapeId="0">
      <text>
        <r>
          <rPr>
            <sz val="9"/>
            <color indexed="81"/>
            <rFont val="Tahoma"/>
            <family val="2"/>
          </rPr>
          <t>Use look-ups in OtherVariables Tab in this spreadsheet for guidance based on capacity by functional class</t>
        </r>
      </text>
    </comment>
    <comment ref="C13" authorId="0" shapeId="0">
      <text>
        <r>
          <rPr>
            <sz val="9"/>
            <color indexed="81"/>
            <rFont val="Tahoma"/>
            <family val="2"/>
          </rPr>
          <t>Should not give credit for less than 3 centers
Destinations examples: banks, churches, hospitals, park and ride, office parks, library, shopping, schools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 xml:space="preserve">User defined; default value of 1.8
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</rPr>
          <t>User defined; default value of 0.98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Sarah Windmiller</author>
  </authors>
  <commentList>
    <comment ref="C22" authorId="0" shapeId="0">
      <text>
        <r>
          <rPr>
            <sz val="9"/>
            <color indexed="81"/>
            <rFont val="Tahoma"/>
            <family val="2"/>
          </rPr>
          <t xml:space="preserve">Based on California's TLSPEN program (delay reduction from HCM 2000)
</t>
        </r>
      </text>
    </comment>
    <comment ref="C32" authorId="0" shapeId="0">
      <text>
        <r>
          <rPr>
            <sz val="9"/>
            <color indexed="81"/>
            <rFont val="Tahoma"/>
            <family val="2"/>
          </rPr>
          <t xml:space="preserve">Lookup formulas for emission factors currently assume urban unrescricted access (MOVES Road Type 5).  Change Lookup Formula to reference column F (instead of H) if you want rural unrestricted access (MOVES Road Type 3)
</t>
        </r>
      </text>
    </comment>
    <comment ref="C39" authorId="0" shapeId="0">
      <text>
        <r>
          <rPr>
            <sz val="9"/>
            <color indexed="81"/>
            <rFont val="Tahoma"/>
            <family val="2"/>
          </rPr>
          <t xml:space="preserve">Lookup formulas currently assume urban unrescricted access (MOVES Road Type 5).  Change Lookup Formula to reference column P (instead of R) if you want rural unrestricted access (MOVES Road Type 3)
</t>
        </r>
      </text>
    </comment>
  </commentList>
</comments>
</file>

<file path=xl/comments3.xml><?xml version="1.0" encoding="utf-8"?>
<comments xmlns="http://schemas.openxmlformats.org/spreadsheetml/2006/main">
  <authors>
    <author>Sarah Windmiller</author>
  </authors>
  <commentList>
    <comment ref="C9" authorId="0" shapeId="0">
      <text>
        <r>
          <rPr>
            <sz val="9"/>
            <color indexed="81"/>
            <rFont val="Tahoma"/>
            <family val="2"/>
          </rPr>
          <t xml:space="preserve">Guidance based on FHWA signal timing manual
</t>
        </r>
      </text>
    </comment>
    <comment ref="C10" authorId="0" shapeId="0">
      <text>
        <r>
          <rPr>
            <sz val="9"/>
            <color indexed="81"/>
            <rFont val="Tahoma"/>
            <family val="2"/>
          </rPr>
          <t>See Look-up for Unsignalized intersection delay and progression criteria under 'OtherVariables' tab.</t>
        </r>
      </text>
    </comment>
    <comment ref="C11" authorId="0" shapeId="0">
      <text>
        <r>
          <rPr>
            <sz val="9"/>
            <color indexed="81"/>
            <rFont val="Tahoma"/>
            <family val="2"/>
          </rPr>
          <t xml:space="preserve">Not required butwill produce more accurate results if provided. If unknown, leave blank.
</t>
        </r>
      </text>
    </comment>
    <comment ref="C14" authorId="0" shapeId="0">
      <text>
        <r>
          <rPr>
            <sz val="9"/>
            <color indexed="81"/>
            <rFont val="Tahoma"/>
            <family val="2"/>
          </rPr>
          <t xml:space="preserve">Note: Each additional auxiliary/turn lane or reversible lane added equals 1/2 lane. Report Data for both approaches of the street
</t>
        </r>
      </text>
    </comment>
    <comment ref="C19" authorId="0" shapeId="0">
      <text>
        <r>
          <rPr>
            <sz val="9"/>
            <color indexed="81"/>
            <rFont val="Tahoma"/>
            <family val="2"/>
          </rPr>
          <t xml:space="preserve">ARC Model
</t>
        </r>
      </text>
    </comment>
    <comment ref="C20" authorId="0" shapeId="0">
      <text>
        <r>
          <rPr>
            <sz val="9"/>
            <color indexed="81"/>
            <rFont val="Tahoma"/>
            <family val="2"/>
          </rPr>
          <t xml:space="preserve">Input in order to develop critical V/C by approach, simplified so as to avoid dealing with turning movements
</t>
        </r>
      </text>
    </comment>
  </commentList>
</comments>
</file>

<file path=xl/comments4.xml><?xml version="1.0" encoding="utf-8"?>
<comments xmlns="http://schemas.openxmlformats.org/spreadsheetml/2006/main">
  <authors>
    <author>Sarah Windmiller</author>
  </authors>
  <commentList>
    <comment ref="C8" authorId="0" shapeId="0">
      <text>
        <r>
          <rPr>
            <sz val="9"/>
            <color indexed="81"/>
            <rFont val="Tahoma"/>
            <family val="2"/>
          </rPr>
          <t xml:space="preserve">This changes the flow rates that can be used (0.85 for RT and 0.95 for LT)
</t>
        </r>
      </text>
    </comment>
    <comment ref="C9" authorId="0" shapeId="0">
      <text>
        <r>
          <rPr>
            <sz val="9"/>
            <color indexed="81"/>
            <rFont val="Tahoma"/>
            <family val="2"/>
          </rPr>
          <t xml:space="preserve">Guidance based on FHWA signal timing manual
</t>
        </r>
      </text>
    </comment>
  </commentList>
</comments>
</file>

<file path=xl/comments5.xml><?xml version="1.0" encoding="utf-8"?>
<comments xmlns="http://schemas.openxmlformats.org/spreadsheetml/2006/main">
  <authors>
    <author>Sarah Windmiller</author>
  </authors>
  <commentList>
    <comment ref="C12" authorId="0" shapeId="0">
      <text>
        <r>
          <rPr>
            <sz val="9"/>
            <color indexed="81"/>
            <rFont val="Tahoma"/>
            <family val="2"/>
          </rPr>
          <t>Each additional auxiliary/turn lane or reversible lane added equals 1/2 lane. Report Data for both approaches of the street</t>
        </r>
      </text>
    </comment>
    <comment ref="C18" authorId="0" shapeId="0">
      <text>
        <r>
          <rPr>
            <sz val="9"/>
            <color indexed="81"/>
            <rFont val="Tahoma"/>
            <family val="2"/>
          </rPr>
          <t>Each additional auxiliary/turn lane or reversible lane added equals 1/2 lane. Report Data for both approaches of the street</t>
        </r>
      </text>
    </comment>
  </commentList>
</comments>
</file>

<file path=xl/comments6.xml><?xml version="1.0" encoding="utf-8"?>
<comments xmlns="http://schemas.openxmlformats.org/spreadsheetml/2006/main">
  <authors>
    <author>Sarah Windmiller</author>
  </authors>
  <commentList>
    <comment ref="C11" authorId="0" shapeId="0">
      <text>
        <r>
          <rPr>
            <sz val="9"/>
            <color indexed="81"/>
            <rFont val="Tahoma"/>
            <family val="2"/>
          </rPr>
          <t>See Look-up for Unsignalized intersection delay and progression criteria under 'OtherVariables' tab.</t>
        </r>
      </text>
    </comment>
    <comment ref="C12" authorId="0" shapeId="0">
      <text>
        <r>
          <rPr>
            <sz val="9"/>
            <color indexed="81"/>
            <rFont val="Tahoma"/>
            <family val="2"/>
          </rPr>
          <t xml:space="preserve">Not required. If known, only enter data into yellow cells. Otherwise, leave blank
</t>
        </r>
      </text>
    </comment>
  </commentList>
</comments>
</file>

<file path=xl/comments7.xml><?xml version="1.0" encoding="utf-8"?>
<comments xmlns="http://schemas.openxmlformats.org/spreadsheetml/2006/main">
  <authors>
    <author>Sarah Windmiller</author>
  </authors>
  <commentList>
    <comment ref="C32" authorId="0" shapeId="0">
      <text>
        <r>
          <rPr>
            <sz val="9"/>
            <color indexed="81"/>
            <rFont val="Tahoma"/>
            <family val="2"/>
          </rPr>
          <t xml:space="preserve">Urban Default = 0.92, Rural Default = 0.88
</t>
        </r>
      </text>
    </comment>
    <comment ref="C33" authorId="0" shapeId="0">
      <text>
        <r>
          <rPr>
            <sz val="9"/>
            <color indexed="81"/>
            <rFont val="Tahoma"/>
            <family val="2"/>
          </rPr>
          <t>See Look-up for Unsignalized intersection delay and progression criteria in 'OtherVariables' Tab</t>
        </r>
      </text>
    </comment>
    <comment ref="C34" authorId="0" shapeId="0">
      <text>
        <r>
          <rPr>
            <sz val="9"/>
            <color indexed="81"/>
            <rFont val="Tahoma"/>
            <charset val="1"/>
          </rPr>
          <t xml:space="preserve">See 'Sources &amp; Comments' tab for a schematic describing the location of the conflicting approach
</t>
        </r>
      </text>
    </comment>
  </commentList>
</comments>
</file>

<file path=xl/comments8.xml><?xml version="1.0" encoding="utf-8"?>
<comments xmlns="http://schemas.openxmlformats.org/spreadsheetml/2006/main">
  <authors>
    <author>Sarah Windmiller</author>
  </authors>
  <commentList>
    <comment ref="C13" authorId="0" shapeId="0">
      <text>
        <r>
          <rPr>
            <sz val="9"/>
            <color indexed="81"/>
            <rFont val="Tahoma"/>
            <family val="2"/>
          </rPr>
          <t xml:space="preserve">If service is not available for AM Peak, put '0'
</t>
        </r>
      </text>
    </comment>
    <comment ref="C16" authorId="0" shapeId="0">
      <text>
        <r>
          <rPr>
            <sz val="9"/>
            <color indexed="81"/>
            <rFont val="Tahoma"/>
            <family val="2"/>
          </rPr>
          <t xml:space="preserve">If service is not available for PM Peak, put '0'
</t>
        </r>
      </text>
    </comment>
    <comment ref="C19" authorId="0" shapeId="0">
      <text>
        <r>
          <rPr>
            <sz val="9"/>
            <color indexed="81"/>
            <rFont val="Tahoma"/>
            <family val="2"/>
          </rPr>
          <t xml:space="preserve">If service is not available for Off-Peak, put '0'
</t>
        </r>
      </text>
    </comment>
  </commentList>
</comments>
</file>

<file path=xl/comments9.xml><?xml version="1.0" encoding="utf-8"?>
<comments xmlns="http://schemas.openxmlformats.org/spreadsheetml/2006/main">
  <authors>
    <author>Sarah Windmiller</author>
  </authors>
  <commentList>
    <comment ref="C8" authorId="0" shapeId="0">
      <text>
        <r>
          <rPr>
            <sz val="9"/>
            <color indexed="81"/>
            <rFont val="Tahoma"/>
            <family val="2"/>
          </rPr>
          <t>Provide sum of daily traffic volumes in both directions. 
Maximum of 30,000</t>
        </r>
      </text>
    </comment>
    <comment ref="C9" authorId="0" shapeId="0">
      <text>
        <r>
          <rPr>
            <sz val="9"/>
            <color indexed="81"/>
            <rFont val="Tahoma"/>
            <family val="2"/>
          </rPr>
          <t xml:space="preserve">Use look-ups in OtherVariables Tab in this spreadsheet for guidance based on capacity by functional class
</t>
        </r>
      </text>
    </comment>
    <comment ref="C12" authorId="0" shapeId="0">
      <text>
        <r>
          <rPr>
            <sz val="9"/>
            <color indexed="81"/>
            <rFont val="Tahoma"/>
            <family val="2"/>
          </rPr>
          <t xml:space="preserve">Should not give credit for less than 3 centers; 
Destinations examples: banks, churches, hospitals, park and ride, office parks, library, shopping, schools
</t>
        </r>
      </text>
    </comment>
    <comment ref="C18" authorId="0" shapeId="0">
      <text>
        <r>
          <rPr>
            <sz val="9"/>
            <color indexed="81"/>
            <rFont val="Tahoma"/>
            <family val="2"/>
          </rPr>
          <t>User defined; default value of 1.8
(http://www.dot.ga.gov/travelingingeorgia/bikepedestrian/Documents/Plans/ARC_BikePed_Plan_2007.pdf)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User defined; default value of 0.98 (NHTS 2009 Summary of Travel Trends)</t>
        </r>
      </text>
    </comment>
    <comment ref="C24" authorId="0" shapeId="0">
      <text>
        <r>
          <rPr>
            <sz val="9"/>
            <color indexed="81"/>
            <rFont val="Tahoma"/>
            <family val="2"/>
          </rPr>
          <t xml:space="preserve">User defined (values from APTA - 5.2 and FTA - 10.2)
</t>
        </r>
      </text>
    </comment>
    <comment ref="C26" authorId="0" shapeId="0">
      <text>
        <r>
          <rPr>
            <sz val="9"/>
            <color indexed="81"/>
            <rFont val="Tahoma"/>
            <family val="2"/>
          </rPr>
          <t xml:space="preserve">Enter Y or N. If no, access to bus is default.
</t>
        </r>
      </text>
    </comment>
    <comment ref="C32" authorId="0" shapeId="0">
      <text>
        <r>
          <rPr>
            <sz val="9"/>
            <color indexed="81"/>
            <rFont val="Tahoma"/>
            <family val="2"/>
          </rPr>
          <t>Reduced from 250 to consider local climate.</t>
        </r>
      </text>
    </comment>
  </commentList>
</comments>
</file>

<file path=xl/sharedStrings.xml><?xml version="1.0" encoding="utf-8"?>
<sst xmlns="http://schemas.openxmlformats.org/spreadsheetml/2006/main" count="2500" uniqueCount="734">
  <si>
    <t>Transit</t>
  </si>
  <si>
    <t>Constants</t>
  </si>
  <si>
    <t>Emission Factors</t>
  </si>
  <si>
    <t>A</t>
  </si>
  <si>
    <t>B</t>
  </si>
  <si>
    <t>C</t>
  </si>
  <si>
    <t>D</t>
  </si>
  <si>
    <t>E</t>
  </si>
  <si>
    <t>F</t>
  </si>
  <si>
    <t>Average Trip Length (mi)</t>
  </si>
  <si>
    <t xml:space="preserve">(A) adjustment factor for ADT </t>
  </si>
  <si>
    <t xml:space="preserve">Annual Auto VMT Reduced  </t>
  </si>
  <si>
    <t>(C) activity center credit near project</t>
  </si>
  <si>
    <t>Length</t>
  </si>
  <si>
    <t>Factor</t>
  </si>
  <si>
    <t>ADT adjustment Factor Lookup (adapted from CARB, 2008)</t>
  </si>
  <si>
    <t>&lt; 1</t>
  </si>
  <si>
    <t>1 - 2</t>
  </si>
  <si>
    <t>&gt; 2</t>
  </si>
  <si>
    <t>max ADT</t>
  </si>
  <si>
    <t>Non-university area</t>
  </si>
  <si>
    <t>Y</t>
  </si>
  <si>
    <t>Does project provide access to transit (Y/N)?</t>
  </si>
  <si>
    <t>Length of bike/ped project (miles)</t>
  </si>
  <si>
    <t>default factor to convert average weekday traffic to AADT</t>
  </si>
  <si>
    <t>Within 2 miles of a university or college (Y/N)?</t>
  </si>
  <si>
    <t>Area Type</t>
  </si>
  <si>
    <t>CBD</t>
  </si>
  <si>
    <t>Urban</t>
  </si>
  <si>
    <t>Suburban</t>
  </si>
  <si>
    <t>Rural</t>
  </si>
  <si>
    <t xml:space="preserve">Is ped/bike access to fixed guideway transit (Y/N)? </t>
  </si>
  <si>
    <t>N</t>
  </si>
  <si>
    <t>VMT per Capita</t>
  </si>
  <si>
    <t>From CUTR Model</t>
  </si>
  <si>
    <t>2055r</t>
  </si>
  <si>
    <t>0 - 499</t>
  </si>
  <si>
    <t>500 -1,999</t>
  </si>
  <si>
    <t>2,000 - 3,999</t>
  </si>
  <si>
    <t>4,000 - 9,999</t>
  </si>
  <si>
    <t>10,000+</t>
  </si>
  <si>
    <t>Area type</t>
  </si>
  <si>
    <t>Increase in transit trips resulting from new bike/ped connections</t>
  </si>
  <si>
    <t>University area</t>
  </si>
  <si>
    <t>Existing daily transit boardings in project transit corridor or at fixed-guideway station</t>
  </si>
  <si>
    <t>Bike + Ped + Transit</t>
  </si>
  <si>
    <t>Facility Type</t>
  </si>
  <si>
    <t>Peak Hour Intersection Delay before Improvement (s/veh)</t>
  </si>
  <si>
    <t>Auto Occupancy</t>
  </si>
  <si>
    <t>Eliminated Annual Auto VMT</t>
  </si>
  <si>
    <t>Level of Service</t>
  </si>
  <si>
    <t xml:space="preserve">Very low control delay 10 or less seconds per vehicle; </t>
  </si>
  <si>
    <t>Control delay greater than 10 and up to 20 seconds per vehicle;</t>
  </si>
  <si>
    <t xml:space="preserve">Control delay greater than 20 and up to 35 seconds per vehicle; </t>
  </si>
  <si>
    <t xml:space="preserve">Control delay greater than 35 and up to 55 seconds per vehicle; </t>
  </si>
  <si>
    <t xml:space="preserve">Control delay greater than 55 and up to 80 seconds per vehicle; </t>
  </si>
  <si>
    <t xml:space="preserve">Control delay greater than 80 seconds per vehicle; </t>
  </si>
  <si>
    <t>Progression Criteria</t>
  </si>
  <si>
    <t>Control Delay Per Vehicle</t>
  </si>
  <si>
    <t>Progression is very  favorable; most vehicles arrive during green signal; most vehicles do not stop. Short cycle lengths may also contribute to low delay.</t>
  </si>
  <si>
    <t>Progression is good and/or cycle lengths are short. More vehicles stop than for LOS A, causing higher levels of average delay.</t>
  </si>
  <si>
    <t>Progression is fair and/or cycle lengths are longer. Individual cycle failures may begin to appear at this level. The number of vehicles stopping is significant, though many vehicles still pass through without stopping.</t>
  </si>
  <si>
    <t>Progression is unfavorable, cycle lengths are long, or has a high flow rate to capacity ratio. Many vehicles stop, and the proportion of vehicles not stopping diminishes. Individual cycle failures are obvious.</t>
  </si>
  <si>
    <t>Progression is poor, cycle lengths are long, and has a high flow rate to capacity ratio. Individual cycle failures are frequent occurrences.</t>
  </si>
  <si>
    <t>Progression is very poor, cycle lengths are long. Many individual cycle failures. Arrival flow rates exceed the capacity of the intersection. This level is considered unacceptable to most drivers.</t>
  </si>
  <si>
    <t>Peak Hour to Daily Conversion</t>
  </si>
  <si>
    <t>Number of weekdays per year</t>
  </si>
  <si>
    <t>Note: assume delay reduction benefits on holidays and weekends are marginal</t>
  </si>
  <si>
    <t>Annualization factor</t>
  </si>
  <si>
    <t>Capacity at Intersection - Street 1</t>
  </si>
  <si>
    <t>Capacity at Intersection - Street 2</t>
  </si>
  <si>
    <t>Signal Complexity</t>
  </si>
  <si>
    <t>Commonly Assumed Cycle Length(s)</t>
  </si>
  <si>
    <t>Permissive left turns on both streets</t>
  </si>
  <si>
    <t>Protected left-turns, protected-permissive left turns, or split phasing on one street</t>
  </si>
  <si>
    <t>Protected left-turns, protected-permissive left turn phasing, and / or split phasing on both streets</t>
  </si>
  <si>
    <t>Traffic Signal Timing Manual, 2008</t>
  </si>
  <si>
    <t>Effective Green to Cycle Length Ratio</t>
  </si>
  <si>
    <t>Critical v/c for the intersection</t>
  </si>
  <si>
    <t>Peak Hour Intersection Delay after Improvement (s/veh) (Calculated)</t>
  </si>
  <si>
    <t>Existing Peak Hour Delay (Veh-hr)</t>
  </si>
  <si>
    <t>Improved Peak Hour Delay (Veh-hr)</t>
  </si>
  <si>
    <t>Unsignalized Intersection Delay</t>
  </si>
  <si>
    <t>Progression Criteria (Unsignalized Intersection)</t>
  </si>
  <si>
    <t>&lt;10</t>
  </si>
  <si>
    <t>Very low control delay 10 or less seconds per vehicle. All drivers find freedom of
operation. Very rarely more than one vehicle in queue.</t>
  </si>
  <si>
    <t>10 to 15</t>
  </si>
  <si>
    <t>Control delay greater than 10 and up to 15 seconds per vehicle. Some drivers begin
to consider the delay troublesome. Seldom there is more than one vehicle in queue.</t>
  </si>
  <si>
    <t>15 to 25</t>
  </si>
  <si>
    <t>Control delay greater than 15 and up to 25 seconds per vehicle. Most drivers feel
restricted, but tolerably so. Often there is more than one vehicle in queue.</t>
  </si>
  <si>
    <t>25-35</t>
  </si>
  <si>
    <t>Control delay greater than 25 and up to 35 seconds per vehicle. Drivers feel
restricted. Most often, there is more than one vehicle in queue.</t>
  </si>
  <si>
    <t>35-50</t>
  </si>
  <si>
    <t>Control delay greater than 35 and up to 50 seconds per vehicle. Drivers find delays
approaching intolerable levels. There is frequently more than one vehicle in queue.
This level denotes a state in which the demand is close or equal to the probable
maximum number of vehicles that can be accommodated by the movement.</t>
  </si>
  <si>
    <t>&gt;50</t>
  </si>
  <si>
    <t>Control delay in excess of 50 seconds per vehicle. Very constrained flow.
Represents an intersection failure situation that is caused by geometric and/or
operational constraints external to the intersection.</t>
  </si>
  <si>
    <t>Left</t>
  </si>
  <si>
    <t>Right</t>
  </si>
  <si>
    <t>Number of Lanes for which the movement is being enabled</t>
  </si>
  <si>
    <t>HCM guidance states that anything greater than 300 vphpl warrants a protected turning movement</t>
  </si>
  <si>
    <t>Percentage of Trucks</t>
  </si>
  <si>
    <t>Saturation Flow Rate</t>
  </si>
  <si>
    <t>Constant for CBD/urban area types (HCM)</t>
  </si>
  <si>
    <t>Turn Adjustment for Saturation Flow</t>
  </si>
  <si>
    <t>Default V/C for the Turning Movement</t>
  </si>
  <si>
    <t>Design default V/C (HCM 16-99)</t>
  </si>
  <si>
    <t>Constant based on LOS F assumption for existing permissive or prohibited turn</t>
  </si>
  <si>
    <t>Effective Green Time for Turning Movement</t>
  </si>
  <si>
    <t>Delay After Improvement</t>
  </si>
  <si>
    <t>Existing Capacity at Intersection - Street 1</t>
  </si>
  <si>
    <t>Existing Capacity at Intersection - Street 2</t>
  </si>
  <si>
    <t>Improved Capacity at Intersection - Street 1</t>
  </si>
  <si>
    <t>Improved Capacity at Intersection - Street 2</t>
  </si>
  <si>
    <t>Critical v/c for the intersection @ Existing Capacity</t>
  </si>
  <si>
    <t>Critical v/c for the intersection @ Improved Capacity</t>
  </si>
  <si>
    <t>Peak Hour Intersection Delay Before Improvement (s/veh) (Calculated)</t>
  </si>
  <si>
    <t>Reduction in Annual Vehicle Hours of Delay</t>
  </si>
  <si>
    <t>Type of Turn with New Phase</t>
  </si>
  <si>
    <t>Intersection Existing Signal Cycle Length (sec)</t>
  </si>
  <si>
    <t>Proposed Intersection Signal Cycle Length (sec)</t>
  </si>
  <si>
    <t>Scenario Year</t>
  </si>
  <si>
    <t>Capacity of parallel arterial (vph)</t>
  </si>
  <si>
    <t>ADT to Hourly Volume Conversion</t>
  </si>
  <si>
    <t>V/C Ratio before improvements on parallel arterial</t>
  </si>
  <si>
    <t>Hourly Volume Reduced due to Improvements</t>
  </si>
  <si>
    <t>V/C Ratio after improvements on parallel arterial</t>
  </si>
  <si>
    <t>Posted Speed on parallel arterial (mph)</t>
  </si>
  <si>
    <t>Free flow travel time on parallel arterial (minutes)</t>
  </si>
  <si>
    <t>Length of the signalized corridor (miles)</t>
  </si>
  <si>
    <t>Existing Number of Signalized Intersections</t>
  </si>
  <si>
    <t>Existing Average Cycle Length (seconds)</t>
  </si>
  <si>
    <t>Travel Time Savings (min)</t>
  </si>
  <si>
    <t>Travel Time after Improvements</t>
  </si>
  <si>
    <t>Existing Avg Speed (mph)</t>
  </si>
  <si>
    <t>Improved Avg Speed (mph)</t>
  </si>
  <si>
    <t>1 – CBD / Very High Density Urban</t>
  </si>
  <si>
    <t>2 – High Density Urban</t>
  </si>
  <si>
    <t>3 – Medium Density Urban</t>
  </si>
  <si>
    <t>4 – Low Density Urban</t>
  </si>
  <si>
    <t>5 – Suburban</t>
  </si>
  <si>
    <t>6 – Exurban</t>
  </si>
  <si>
    <t>7 – Rural</t>
  </si>
  <si>
    <t>Urban Very High Density</t>
  </si>
  <si>
    <t>Urban High Density</t>
  </si>
  <si>
    <t>Urban Medium Density</t>
  </si>
  <si>
    <t>Exurban</t>
  </si>
  <si>
    <t>Urban Low Density</t>
  </si>
  <si>
    <t>Documentation</t>
  </si>
  <si>
    <t>Intersection Improvement (New Signal)</t>
  </si>
  <si>
    <t xml:space="preserve">Roundabout </t>
  </si>
  <si>
    <t>Population Density in Persons per Square Mile</t>
  </si>
  <si>
    <t>Under 500</t>
  </si>
  <si>
    <t>500-1999</t>
  </si>
  <si>
    <t>2000-3999</t>
  </si>
  <si>
    <t>4000-9999</t>
  </si>
  <si>
    <t>&gt; 10,000</t>
  </si>
  <si>
    <t>Average Daily Headways (minutes)</t>
  </si>
  <si>
    <t>Small Town</t>
  </si>
  <si>
    <t>Transit Corridor Length (miles)</t>
  </si>
  <si>
    <t>Suburb</t>
  </si>
  <si>
    <t>Second City</t>
  </si>
  <si>
    <t>http://www.travelbehavior.us/Nancy-pdfs/Mode%20Share.pdf</t>
  </si>
  <si>
    <t>Transit Propensity in the corridor service area</t>
  </si>
  <si>
    <t>Annual Average Per-capita transit trips</t>
  </si>
  <si>
    <t>Estimated Annual Transit Ridership</t>
  </si>
  <si>
    <t>Buses</t>
  </si>
  <si>
    <t>Light Duty</t>
  </si>
  <si>
    <t>All Trucks</t>
  </si>
  <si>
    <t>County Group</t>
  </si>
  <si>
    <t>Season</t>
  </si>
  <si>
    <t>Pollutant</t>
  </si>
  <si>
    <t>Speed (mph)</t>
  </si>
  <si>
    <t>All Rd Types</t>
  </si>
  <si>
    <t>Annual</t>
  </si>
  <si>
    <t>CO2eq</t>
  </si>
  <si>
    <t>NOx</t>
  </si>
  <si>
    <t>PM2.5</t>
  </si>
  <si>
    <t>Summer</t>
  </si>
  <si>
    <t>VOC</t>
  </si>
  <si>
    <t>ARC model specific data can be used</t>
  </si>
  <si>
    <t>Daily to Annual Conversion</t>
  </si>
  <si>
    <t>Light Duty Emission Factor PM NOx(g/mi)</t>
  </si>
  <si>
    <t>Truck Percentage (using the roundabout)</t>
  </si>
  <si>
    <t>Intersection Improvement (New Phase)</t>
  </si>
  <si>
    <t>Average Flow Rate for the Turning Movement (veh/hr/lane)</t>
  </si>
  <si>
    <t>OR</t>
  </si>
  <si>
    <t>Annualization factor (weekdays days in a year)</t>
  </si>
  <si>
    <t>N/A</t>
  </si>
  <si>
    <t>Eliminated Annual Auto trips</t>
  </si>
  <si>
    <t>Difficult Terrain</t>
  </si>
  <si>
    <t>Number of destinations within 1/2 mile of project</t>
  </si>
  <si>
    <t>Use ARC Model conversion factor</t>
  </si>
  <si>
    <t>user defined; default value of 0.98 (NHTS 2009 Summary of Travel Trends)</t>
  </si>
  <si>
    <t>user defined; default value of 1.8 ( http://www.dot.ga.gov/travelingingeorgia/bikepedestrian/Documents/Plans/ARC_BikePed_Plan_2007.pdf)</t>
  </si>
  <si>
    <t>Enter Y or N. If no, access to bus is default.</t>
  </si>
  <si>
    <t>Bicycle</t>
  </si>
  <si>
    <t>Pedestrian</t>
  </si>
  <si>
    <t>Does this project have a bicycle component?</t>
  </si>
  <si>
    <t>Volume Density Function/BPR Curve Alpha</t>
  </si>
  <si>
    <t>Volume Density Function/BPR Curve Beta</t>
  </si>
  <si>
    <t>Light Duty Emission Factor PM (g/mi)</t>
  </si>
  <si>
    <t>CNG Bus</t>
  </si>
  <si>
    <t>LNG Bus</t>
  </si>
  <si>
    <t>Diesel Bus</t>
  </si>
  <si>
    <t>Existing Total Daily Emissions GHG (g)</t>
  </si>
  <si>
    <t>Existing Total Daily Emissions VOC (g)</t>
  </si>
  <si>
    <t>Existing Total Daily Emissions PM (g)</t>
  </si>
  <si>
    <t>Improved Total Daily Emissions GHG (g)</t>
  </si>
  <si>
    <t>Improved Total Daily Emissions VOC (g)</t>
  </si>
  <si>
    <t>Improved Total Daily Emissions PM (g)</t>
  </si>
  <si>
    <t>Emission Factors - Existing</t>
  </si>
  <si>
    <t>All Trucks Emission Factor PM (g/mi)</t>
  </si>
  <si>
    <t>All Trucks Emission Factor PM NOx(g/mi)</t>
  </si>
  <si>
    <t>Emission Factors - Improved</t>
  </si>
  <si>
    <t>Should not give credit for less than 3 centers; Destinations examples: banks, churches, hospitals, park and ride, office parks, library, shopping, schools</t>
  </si>
  <si>
    <t>Congested Travel Time before Improvements on parallel arterial</t>
  </si>
  <si>
    <t>Congested Travel Time after Improvements on parallel arterial</t>
  </si>
  <si>
    <t>Based on California's TLSPEN program (delay reduction from HCM 2000)</t>
  </si>
  <si>
    <t>Light Duty Emission Factor VOC(g/hour)</t>
  </si>
  <si>
    <t>Light Duty Emission Factor NOx(g/hour)</t>
  </si>
  <si>
    <t>Light Duty Emission Factor PM (g/hour)</t>
  </si>
  <si>
    <t>Light Duty Emission Factor PM NOx(g/hour)</t>
  </si>
  <si>
    <t>Light Duty Emission Factor VOC (g/mi)</t>
  </si>
  <si>
    <t>All Trucks Emission Factor VOC (g/mi)</t>
  </si>
  <si>
    <t>Light Duty Emission Factor NOx (g/mi)</t>
  </si>
  <si>
    <t>All Trucks Emission Factor NOx (g/mi)</t>
  </si>
  <si>
    <t>Emissions - Existing</t>
  </si>
  <si>
    <t>Emissions - Improved</t>
  </si>
  <si>
    <t>Light Duty Emissions PM NOx(g)</t>
  </si>
  <si>
    <t>Light Duty Emissions PM (g)</t>
  </si>
  <si>
    <t>Light Duty Emissions NOx (g)</t>
  </si>
  <si>
    <t>Light Duty Emissions VOC (g)</t>
  </si>
  <si>
    <t>Congested Speed (mph) before Improvements on parallel arterial</t>
  </si>
  <si>
    <t>Congested Speed (mph) after Improvements on parallel arterial</t>
  </si>
  <si>
    <t>Hours in Peak Period</t>
  </si>
  <si>
    <t>Destination Credits</t>
  </si>
  <si>
    <t>Destinations examples: banks, churches, hospitals, park and ride, office parks, library, shopping, schools</t>
  </si>
  <si>
    <t>1/2 mile</t>
  </si>
  <si>
    <t>at least 3</t>
  </si>
  <si>
    <t>4 to 6</t>
  </si>
  <si>
    <t>&gt; 6</t>
  </si>
  <si>
    <t>Increase in transit trips based on type of access (2 percent for improved access to bus; 4 percent for improved access to fixed guideway)**</t>
  </si>
  <si>
    <t>Hybrid Bus (Diesel-Electric)</t>
  </si>
  <si>
    <t>Light Rail (Electric)</t>
  </si>
  <si>
    <t>Heavy Rail (Electric)</t>
  </si>
  <si>
    <t>Emission Factor for GHG (g CO2eq/mi)</t>
  </si>
  <si>
    <t>Emission Factor for PM Nox (g/mi)</t>
  </si>
  <si>
    <t>Emission Factor for PM2.5 (g/mi)</t>
  </si>
  <si>
    <t>Emission Factor for NOx (g/mi)</t>
  </si>
  <si>
    <t>Emission Factor for VOC (g/mi)</t>
  </si>
  <si>
    <t>Light Duty Vehicle Emission Factors</t>
  </si>
  <si>
    <t>Transit Vehicle Emission Factors</t>
  </si>
  <si>
    <t>G</t>
  </si>
  <si>
    <t>Existing Number of Lanes (one direction)</t>
  </si>
  <si>
    <t>Morning Peak - Inbound</t>
  </si>
  <si>
    <t>Afternoon Peak - Outbound</t>
  </si>
  <si>
    <t>Truck Percentage (one direction)</t>
  </si>
  <si>
    <t>Note: assume delay reduction benefits during off-peak times are marginal</t>
  </si>
  <si>
    <t>Average corridor travel time (one direction) during peak period (minutes)</t>
  </si>
  <si>
    <t>Auto VMT (one direction)</t>
  </si>
  <si>
    <t>Truck VMT (one direction)</t>
  </si>
  <si>
    <t>Signal Synchronization</t>
  </si>
  <si>
    <t>Average hourly volume during peak period (one direction)</t>
  </si>
  <si>
    <t>Wait Time Elasticity</t>
  </si>
  <si>
    <t>Percent of Total Travel Time Spent Waiting</t>
  </si>
  <si>
    <t>Percent of Total Travel Time Spent Waiting - After RTI</t>
  </si>
  <si>
    <t>http://www.nctr.usf.edu/pdf/527-09.pdf [page 26]</t>
  </si>
  <si>
    <t>http://www.its.ucla.edu/research/EPIC/Appendix%20A.pdf [page 8]</t>
  </si>
  <si>
    <t>East (Approach 3)</t>
  </si>
  <si>
    <t>Peak Hour Factor (PHF)</t>
  </si>
  <si>
    <t>Urban Default = 0.92, Rural Default = 0.88, NCHRP Report 599</t>
  </si>
  <si>
    <t>Hourly Volume Approach 3 (East)</t>
  </si>
  <si>
    <t>Hourly Volume Approach 4 (West)</t>
  </si>
  <si>
    <t>Delay Calculation</t>
  </si>
  <si>
    <t>Hourly Volume Approach 2 (South)</t>
  </si>
  <si>
    <t>Existing Total Daily Emissions PM NOx (g)</t>
  </si>
  <si>
    <t>Existing Total Daily Emissions NOx (g)</t>
  </si>
  <si>
    <t>Improved Total Daily Emissions PM NOx (g)</t>
  </si>
  <si>
    <t>Improved Total Daily Emissions NOx (g)</t>
  </si>
  <si>
    <t>Entry / Conflicting Flow Rate - Roundabout</t>
  </si>
  <si>
    <t>Adjusted Flow - North (Approach 1)</t>
  </si>
  <si>
    <t>Adjusted Flow - East (Approach 3)</t>
  </si>
  <si>
    <t>Adjusted Flow - South (Approach 2)</t>
  </si>
  <si>
    <t>Adjusted Flow - West (Approach 4)</t>
  </si>
  <si>
    <t>Improved Delay Approach 1 (s/veh)</t>
  </si>
  <si>
    <t>Improved Delay Approach 2 (s/veh)</t>
  </si>
  <si>
    <t>Improved Delay  Approach 3 (s/veh)</t>
  </si>
  <si>
    <t>Improved Delay  Approach 4 (s/veh)</t>
  </si>
  <si>
    <t>Total Hourly Volume Approach 1 (North)</t>
  </si>
  <si>
    <t>Percentage of Left Turns Approach 1 (North)</t>
  </si>
  <si>
    <t>Percentage of Right Turns Approach 1 (North)</t>
  </si>
  <si>
    <t>Percentage of Left Turns Approach 2 (South)</t>
  </si>
  <si>
    <t>Percentage of Right Turns Approach 2 (South)</t>
  </si>
  <si>
    <t>Percentage of Left Turns Approach 3 (East)</t>
  </si>
  <si>
    <t>Percentage of Right Turns Approach 3 (East)</t>
  </si>
  <si>
    <t>Conflicting Flow (pc/h)</t>
  </si>
  <si>
    <t>Capacity - Approach 1 (pc/h)</t>
  </si>
  <si>
    <t>Capacity - Approach 2 (pc/h)</t>
  </si>
  <si>
    <t>Capacity - Approach 3 (pc/h)</t>
  </si>
  <si>
    <t>Capacity - Approach 4 (pc/h)</t>
  </si>
  <si>
    <t>Heavy Vehicle Adjustment Factor</t>
  </si>
  <si>
    <t>V/C Approach 1 (veh/h)</t>
  </si>
  <si>
    <t>V/C Approach 2 (veh/h)</t>
  </si>
  <si>
    <t>V/C Approach 3 (veh/h)</t>
  </si>
  <si>
    <t>V/C Approach 4 (veh/h)</t>
  </si>
  <si>
    <t>Watkins, Ferris, Borning, Rutherford, Layton, Where Is My Bus? Impact of mobile real-time information, 2011</t>
  </si>
  <si>
    <t>Street 1</t>
  </si>
  <si>
    <t>Street 2</t>
  </si>
  <si>
    <t>Other Inputs</t>
  </si>
  <si>
    <t>Percentage of Left Turns Approach 4 (West)</t>
  </si>
  <si>
    <t>Percentage of Right Turns Approach 4 (West)</t>
  </si>
  <si>
    <t>Annual average daily traffic (ADT) between start/end of route</t>
  </si>
  <si>
    <t>MODEL PARAMETERS</t>
  </si>
  <si>
    <t>General Information / Parameter</t>
  </si>
  <si>
    <t>Default Values</t>
  </si>
  <si>
    <t>Units</t>
  </si>
  <si>
    <t>Source / Comments</t>
  </si>
  <si>
    <t>SCENARIO YEAR OUTPUTS</t>
  </si>
  <si>
    <t>RESULTS</t>
  </si>
  <si>
    <t>DELAY IMPACT</t>
  </si>
  <si>
    <t>EMISSION FACTORS AND CONSTANTS</t>
  </si>
  <si>
    <t>CALCULATION INPUTS</t>
  </si>
  <si>
    <t>user-defined</t>
  </si>
  <si>
    <t>Value</t>
  </si>
  <si>
    <t>Data Type</t>
  </si>
  <si>
    <t>Emission Factor by Year</t>
  </si>
  <si>
    <t>User-Defined Values</t>
  </si>
  <si>
    <t>From a Travel Demand Model Using Origin / Destination Data</t>
  </si>
  <si>
    <t>Intersection Improvements</t>
  </si>
  <si>
    <t>TOTAL REDUCTION</t>
  </si>
  <si>
    <t>Results</t>
  </si>
  <si>
    <t>Scenerio Year</t>
  </si>
  <si>
    <t>Values</t>
  </si>
  <si>
    <t>Intersection - Capacity and Phase</t>
  </si>
  <si>
    <t>Roundabout</t>
  </si>
  <si>
    <t>Intersection - New Phase</t>
  </si>
  <si>
    <t>Intersection - New Signal</t>
  </si>
  <si>
    <t>veh/hr/lane</t>
  </si>
  <si>
    <t>Average Flow Rate for the Turning Movement</t>
  </si>
  <si>
    <t>Professional practice for a simplified calculation</t>
  </si>
  <si>
    <t>pcu/hr</t>
  </si>
  <si>
    <t>0.95 or 0.85</t>
  </si>
  <si>
    <t>0.95 for LT or 0.85 for RT</t>
  </si>
  <si>
    <t>s/veh</t>
  </si>
  <si>
    <t>Peak Hour Intersection Delay before Improvement</t>
  </si>
  <si>
    <t>Emission Factor</t>
  </si>
  <si>
    <t>Calculated</t>
  </si>
  <si>
    <t>Travel Time Savings</t>
  </si>
  <si>
    <t>mins</t>
  </si>
  <si>
    <t>CONSTANTS</t>
  </si>
  <si>
    <t>miles</t>
  </si>
  <si>
    <t>Bike, Ped, and Transit</t>
  </si>
  <si>
    <t>User defined (values from APTA - 5.2 and FTA - 10.2)</t>
  </si>
  <si>
    <t>5.2, 10.2</t>
  </si>
  <si>
    <t>Average length of transit trips</t>
  </si>
  <si>
    <t>Average length of pedestrian trips</t>
  </si>
  <si>
    <t>Average length of bicycle trips</t>
  </si>
  <si>
    <t>User defined; default value of 1.8 (http://www.dot.ga.gov/travelingingeorgia/bikepedestrian/Documents/Plans/ARC_BikePed_Plan_2007.pdf)</t>
  </si>
  <si>
    <t>Used to convert ADT to AADT</t>
  </si>
  <si>
    <t>NCHRP Report 716 Table 4.25 for Multilane Highways with free flow speed of 50 mph (see table under 'OtherVariables' Tab</t>
  </si>
  <si>
    <t>User defined; default value of 0.98 (NHTS 2009 Summary of Travel Trends) http://nhts.ornl.gov/2009/pub/stt.pdf</t>
  </si>
  <si>
    <t>Look Up Table Values and Other constants</t>
  </si>
  <si>
    <t>New Transit</t>
  </si>
  <si>
    <t>Average Trip Length</t>
  </si>
  <si>
    <t>Based on area type and population density
http://www.cutr.usf.edu/research/propensity.PDF</t>
  </si>
  <si>
    <t>user-inputs</t>
  </si>
  <si>
    <t>calculated</t>
  </si>
  <si>
    <t>0.92, Urban
0.88 Rural</t>
  </si>
  <si>
    <t>Is Real-Time Information Available?</t>
  </si>
  <si>
    <t>ADDED TRANSIT EMISSIONS (DUE TO ADDED TRANSIT TRIPS / NEW TRANSIT SERVICE)</t>
  </si>
  <si>
    <t>New Transit Service and/or Transit Technology</t>
  </si>
  <si>
    <t>NCHRP Report 716 Table 4.25 for Multilane Highways with free flow speed of 50 mph (see table in 'OtherVariables' tab)</t>
  </si>
  <si>
    <t>Regionally Significant Bicycle/Pedestrian</t>
  </si>
  <si>
    <t>Commute percentage - Bicycles</t>
  </si>
  <si>
    <t>Commute percentage - Pedestrians</t>
  </si>
  <si>
    <t>http://www.nhtsa.gov/staticfiles/nti/pdf/811841b.pdf</t>
  </si>
  <si>
    <t>Use look-ups in 'OtherVariables' Tab in this spreadsheet for guidance based on capacity by functional class</t>
  </si>
  <si>
    <t>Predicted Total Daily Bicycle Demand for Facility</t>
  </si>
  <si>
    <t>Annual average daily traffic (ADT) between the origin and destination of route</t>
  </si>
  <si>
    <t>Regionally Significant Bicycle + Pedestrian Facility</t>
  </si>
  <si>
    <t>Truck percent</t>
  </si>
  <si>
    <t>Advanced Traffic Management System (ATMS)</t>
  </si>
  <si>
    <t>Reduction delay off the control delay</t>
  </si>
  <si>
    <t>Does the Project Include an Adaptive Signal System?</t>
  </si>
  <si>
    <t>12% and 31.5%</t>
  </si>
  <si>
    <t>For Non-Adaptive Signal Systems: Georgia Department of Transportation, Regional Traffic Operations Program, before/after study
For Adaptive Signal Systems: Average Delay Reduction http://www.itsbenefits.its.dot.gov/its/benecost.nsf/0/B56A52DA1C256C8E8525725F00691912</t>
  </si>
  <si>
    <t>CONSTANTS &amp; EMISSION FACTORS</t>
  </si>
  <si>
    <t>Average Peak Hour Intersection Delay before ATMS (s/veh)</t>
  </si>
  <si>
    <t>Peak Hour Intersection Delay After Improvement (s/veh) (Calculated)</t>
  </si>
  <si>
    <t>Number of Intersections along Corridor</t>
  </si>
  <si>
    <t>Light Duty Emission Factor PM NOx (g/hour)</t>
  </si>
  <si>
    <t>Light Duty Emission Factor NOx (g/hour)</t>
  </si>
  <si>
    <t>Light Duty Emission Factor VOC (g/hour)</t>
  </si>
  <si>
    <t>Truck Emission Factor PM NOx (g/hour)</t>
  </si>
  <si>
    <t>Truck Emission Factor PM (g/hour)</t>
  </si>
  <si>
    <t>Truck Emission Factor NOx (g/hour)</t>
  </si>
  <si>
    <t>Truck Emission Factor VOC (g/hour)</t>
  </si>
  <si>
    <t>Number of Weekdays per Year</t>
  </si>
  <si>
    <t>Peak Hour Volume Along Corridor</t>
  </si>
  <si>
    <t>Delay after Improvement (s/veh)</t>
  </si>
  <si>
    <t>Total Annual Reductions in PM NOx Emissions (g/year)</t>
  </si>
  <si>
    <t>Total Annual Reductions in PM Emissions (g/year)</t>
  </si>
  <si>
    <t>Total Annual Reductions in NOx Emissions (g/year)</t>
  </si>
  <si>
    <t>Total Annual Reductions in VOC Emissions (g/year)</t>
  </si>
  <si>
    <t>Added Transit GHG Emissions (g CO2eq /year)</t>
  </si>
  <si>
    <t>Added Transit PM Nox Emissions (g/year)</t>
  </si>
  <si>
    <t>Added Transit PM2.5 Emissions (g/year)</t>
  </si>
  <si>
    <t>Added Transit Nox Emissions (g/year)</t>
  </si>
  <si>
    <t>Added Transit VOC Emissions (g/year)</t>
  </si>
  <si>
    <t>Estimated Added Annual Transit Ridership due to Real-Time Information</t>
  </si>
  <si>
    <t>Eliminated Annual Auto VMT due to Real-Time Information</t>
  </si>
  <si>
    <t>Total Eliminated Annual Auto VMT</t>
  </si>
  <si>
    <t>VEHICLE EMISSION REDUCTION DUE TO REAL-TIME INFORMATION</t>
  </si>
  <si>
    <t>Annual Emissions - Existing</t>
  </si>
  <si>
    <t>Annual Emissions - Improved</t>
  </si>
  <si>
    <t>Emissions</t>
  </si>
  <si>
    <t>EMISSIONS</t>
  </si>
  <si>
    <t>Bicycle + Pedestrian + Transit</t>
  </si>
  <si>
    <t>Weighted Average Percent Trucks</t>
  </si>
  <si>
    <t>Congested Travel Time before Improvements on parallel arterial (mins)</t>
  </si>
  <si>
    <t>Congested Travel Time after Improvements on parallel arterial (mins)</t>
  </si>
  <si>
    <t>ATMS</t>
  </si>
  <si>
    <t>Regionally Significant Bike/Ped Facility</t>
  </si>
  <si>
    <t>LOS</t>
  </si>
  <si>
    <t>Control Delay per vehicle</t>
  </si>
  <si>
    <t>(seconds per vehicle)</t>
  </si>
  <si>
    <t>≤ 10</t>
  </si>
  <si>
    <t>&gt; 10-20</t>
  </si>
  <si>
    <t>&gt; 20-35</t>
  </si>
  <si>
    <t>&gt; 35-55</t>
  </si>
  <si>
    <t>&gt; 55-80</t>
  </si>
  <si>
    <t>&gt; 80</t>
  </si>
  <si>
    <t>Level of Service Criteria for Signalized Intersections from HCM 2000</t>
  </si>
  <si>
    <t>General Description</t>
  </si>
  <si>
    <t>(signalized intersections)</t>
  </si>
  <si>
    <t>Free Flow</t>
  </si>
  <si>
    <t>Stable Flow (slight delays)</t>
  </si>
  <si>
    <t>Stable Flow (acceptable delays)</t>
  </si>
  <si>
    <t xml:space="preserve">Approaching unstable flow (tolerable delay, occasionally wait  through more than one signal cycle before proceeding) </t>
  </si>
  <si>
    <t xml:space="preserve">Unstable flow (intolerable delay) </t>
  </si>
  <si>
    <t xml:space="preserve">Forced flow (jammed) </t>
  </si>
  <si>
    <t>Level of Service Criteria for Unsignalized Intersections from HCM 2000</t>
  </si>
  <si>
    <t>Total Daily Reductions in GHG emissions (short tons/day)</t>
  </si>
  <si>
    <t>Total Daily Reductions in PM NOx Emissions (short tons/day)</t>
  </si>
  <si>
    <t>Total Daily Reductions in PM Emissions (short tons/day)</t>
  </si>
  <si>
    <t>Total Daily Reductions in NOx Emissions (short tons/day)</t>
  </si>
  <si>
    <t>Total Daily Reductions in VOC Emissions (short tons/day)</t>
  </si>
  <si>
    <t>Average length of one-way bicycle trips (miles)</t>
  </si>
  <si>
    <t>Average length of one-way pedestrian trips (miles)</t>
  </si>
  <si>
    <t>Average length of one-way transit trips (miles)</t>
  </si>
  <si>
    <t xml:space="preserve">Annual One-Way Auto Trips Reduced (bike/commute) </t>
  </si>
  <si>
    <t>Annual One-Way Auto Trips Reduced - Total</t>
  </si>
  <si>
    <t>Daily One-Way Auto Trips Reduced - Total</t>
  </si>
  <si>
    <t xml:space="preserve">Annual One-Way Auto Trips Reduced (walk/commute) </t>
  </si>
  <si>
    <t xml:space="preserve">Annual One-Way Auto Trips Reduced (bike) </t>
  </si>
  <si>
    <t xml:space="preserve">Annual One-Way Auto Trips Reduced (walk) </t>
  </si>
  <si>
    <t xml:space="preserve">Annual One-Way Auto Trips Reduced (transit) </t>
  </si>
  <si>
    <t>AM Peak</t>
  </si>
  <si>
    <t>PM Peak</t>
  </si>
  <si>
    <t>Off-Peak</t>
  </si>
  <si>
    <t>Average AM Peak Headways (minutes)</t>
  </si>
  <si>
    <t>Average PM Peak Headways (minutes)</t>
  </si>
  <si>
    <t>Length of AM Peak (hours)</t>
  </si>
  <si>
    <t>Length of PM Peak (hours)</t>
  </si>
  <si>
    <t>Length of Off-Peak (hours)</t>
  </si>
  <si>
    <t>Total Daily Transit Ridership</t>
  </si>
  <si>
    <t>Carpooling / Vanpooling</t>
  </si>
  <si>
    <t>Carpool / Vanpool</t>
  </si>
  <si>
    <t>Carpool</t>
  </si>
  <si>
    <t>Number of Vanpools</t>
  </si>
  <si>
    <t>Number of Carpools</t>
  </si>
  <si>
    <t>Vanpool</t>
  </si>
  <si>
    <t>Carpool Vehicle Emission Factors</t>
  </si>
  <si>
    <t>Vanpool Vehicle Emission Factors</t>
  </si>
  <si>
    <t>Auto Occupancy for SOV</t>
  </si>
  <si>
    <t>Adjustment Factor (A) for Auto Trips</t>
  </si>
  <si>
    <t>Adjustment Factor (AA) for Auto Access to and from vanpool/shuttle</t>
  </si>
  <si>
    <t>Average Roundtrip Length for SOV (miles)</t>
  </si>
  <si>
    <t>ADDED VEHICLE EMISSIONS FROM CARPOOL / VANPOOL</t>
  </si>
  <si>
    <t>Estimated Annual Carpool VMT</t>
  </si>
  <si>
    <t>Estimated Annual Vanpool VMT</t>
  </si>
  <si>
    <t>Annual Total Ridership for Carpool</t>
  </si>
  <si>
    <t>Annual Total Ridership for Vanpool</t>
  </si>
  <si>
    <t>Average Delay Reduction due to ATMS</t>
  </si>
  <si>
    <t>Average Delay Reduction due to Adaptive Signal System</t>
  </si>
  <si>
    <t>.</t>
  </si>
  <si>
    <t>Annual Auto Trips to a Park and Ride Lot</t>
  </si>
  <si>
    <t>Annual Auto Commute Trips Reduced</t>
  </si>
  <si>
    <t>Annual VMT Reduced due to Drivers Carpooling</t>
  </si>
  <si>
    <t>Total Annual VMT Reduced due to Carpool (account for VMT for Carpool)</t>
  </si>
  <si>
    <t>Annual VMT Reduced due to Drivers Vanpooling</t>
  </si>
  <si>
    <t>Total Annual VMT Reduced due to Vanpool (account for VMT for Vanpool)</t>
  </si>
  <si>
    <t>Central Business District</t>
  </si>
  <si>
    <t>Central Business District Fringe</t>
  </si>
  <si>
    <t>Residential</t>
  </si>
  <si>
    <t>Suburb Central Business District</t>
  </si>
  <si>
    <t>Ramp</t>
  </si>
  <si>
    <t>HOV (all classes)</t>
  </si>
  <si>
    <t>Off-Ramp</t>
  </si>
  <si>
    <t>On-Ramp</t>
  </si>
  <si>
    <t>C0</t>
  </si>
  <si>
    <t>C1</t>
  </si>
  <si>
    <t>C2</t>
  </si>
  <si>
    <t>Alpha</t>
  </si>
  <si>
    <t>Beta</t>
  </si>
  <si>
    <t>Freeway</t>
  </si>
  <si>
    <t>Expressway</t>
  </si>
  <si>
    <t>Two-Way Arterial (Parking)</t>
  </si>
  <si>
    <t>One-Way Arterial (Parking)</t>
  </si>
  <si>
    <t>Two-Way Arterial (No Parking)</t>
  </si>
  <si>
    <t>Intersection - New Signal and Turn Lanes</t>
  </si>
  <si>
    <t>Peak Hour Volume</t>
  </si>
  <si>
    <t>Percent Trucks</t>
  </si>
  <si>
    <t>Annual average daily traffic (AADT) on the parallel arterial</t>
  </si>
  <si>
    <t>New Phase w/ Turns</t>
  </si>
  <si>
    <t>Average green/(cycle length) adjustment factor</t>
  </si>
  <si>
    <t>Peak Hour Intersection Delay after Improvement (s/veh)</t>
  </si>
  <si>
    <t>Intersection - New Signal with Turning Lanes</t>
  </si>
  <si>
    <t>Base Satruation Flow Rate</t>
  </si>
  <si>
    <t>pc/h/ln</t>
  </si>
  <si>
    <t>Industry Standard. http://www.fhwa.dot.gov/ohim/hpmsmanl/appn5.cfm</t>
  </si>
  <si>
    <t>Average Peak Hour Intersection Delay after ATMS (s/veh)</t>
  </si>
  <si>
    <t>Daily Emissions</t>
  </si>
  <si>
    <t>Effective Green to Cycle Length Ratio - Street 1</t>
  </si>
  <si>
    <t>Effective Green to Cycle Length Ratio - Street 2</t>
  </si>
  <si>
    <t>Effective Green to Cycle Length Ratio - Critical Movement</t>
  </si>
  <si>
    <t>Base Free-Flow Capacity - Street 1</t>
  </si>
  <si>
    <t>Base Free-Flow Capacity - Street 2</t>
  </si>
  <si>
    <t>No Turns</t>
  </si>
  <si>
    <t>Approach 1</t>
  </si>
  <si>
    <t>Through</t>
  </si>
  <si>
    <t>Approach 2</t>
  </si>
  <si>
    <t>Right Turn Lane Adjustment</t>
  </si>
  <si>
    <t>Left Turn Lane Adjustment - Exclusive</t>
  </si>
  <si>
    <t>Capacity at Intersection - Street 1 | Approach 1</t>
  </si>
  <si>
    <t>Capacity at Intersection - Street 1 | Approach 2</t>
  </si>
  <si>
    <t>Capacity at Intersection - Street 2 | Approach 1</t>
  </si>
  <si>
    <t>Capacity at Intersection - Street 2 | Approach 2</t>
  </si>
  <si>
    <t>V/C Street 1 | Approach 1 (veh/h)</t>
  </si>
  <si>
    <t>V/C Street 1 | Approach 2 (veh/h)</t>
  </si>
  <si>
    <t>V/C Street 2 | Approach 1 (veh/h)</t>
  </si>
  <si>
    <t>V/C Street 2 | Approach 2 (veh/h)</t>
  </si>
  <si>
    <t>Improved Delay - Street 1 | Approach 1 (s/veh)</t>
  </si>
  <si>
    <t>Improved Delay - Street 1 | Approach 2 (s/veh)</t>
  </si>
  <si>
    <t>Improved Delay - Street 2 | Approach 1 (s/veh)</t>
  </si>
  <si>
    <t>Improved Delay - Street 2 | Approach 2 (s/veh)</t>
  </si>
  <si>
    <t>Effective Green to Cycle Length Ratio (g/C) - Street 1 Through/Right</t>
  </si>
  <si>
    <t>Effective Green to Cycle Length Ratio (g/C) - Street 2 Through/Right</t>
  </si>
  <si>
    <t>Calculations</t>
  </si>
  <si>
    <t>Overall Delay</t>
  </si>
  <si>
    <t>Effective Green to Cycle Length Ratio (g/C)</t>
  </si>
  <si>
    <t>Average Length of Trip (miles, one-way)</t>
  </si>
  <si>
    <t>Total Number of Lanes</t>
  </si>
  <si>
    <t xml:space="preserve">Peak Hour Volume </t>
  </si>
  <si>
    <t>Existing Number of Lanes</t>
  </si>
  <si>
    <t>Total Lanes After Improvement</t>
  </si>
  <si>
    <t>Do you know the Effective Green to Cycle Length Ratios for Each Movement?</t>
  </si>
  <si>
    <t>Shared Lane</t>
  </si>
  <si>
    <t>Effective Green to Cycle Length (g/C) - Street 1 | Approach 1</t>
  </si>
  <si>
    <t>Effective Green to Cycle Length (g/C) - Street 1 | Approach 2</t>
  </si>
  <si>
    <t>Effective Green to Cycle Length (g/C) - Street 2 | Approach 2</t>
  </si>
  <si>
    <t>Effective Green to Cycle Length (g/C) - Street 2 | Approach 1</t>
  </si>
  <si>
    <r>
      <t xml:space="preserve">Capacity - Default </t>
    </r>
    <r>
      <rPr>
        <i/>
        <sz val="11"/>
        <rFont val="Calibri"/>
        <family val="2"/>
        <scheme val="minor"/>
      </rPr>
      <t>B</t>
    </r>
    <r>
      <rPr>
        <sz val="11"/>
        <rFont val="Calibri"/>
        <family val="2"/>
        <scheme val="minor"/>
      </rPr>
      <t xml:space="preserve"> value</t>
    </r>
  </si>
  <si>
    <t>Freeway to Freeway Ramp</t>
  </si>
  <si>
    <t>Model specific data can be used</t>
  </si>
  <si>
    <t>weighted average</t>
  </si>
  <si>
    <t>Default value from CARB: http://www.arb.ca.gov/planning/tsaq/eval/eval.htm</t>
  </si>
  <si>
    <t>Average Trip Length (LL) for Auto Access to and from rideshare</t>
  </si>
  <si>
    <t>Based Capacity</t>
  </si>
  <si>
    <t>OTHER REFERENCED VARIABLES</t>
  </si>
  <si>
    <t>Default value from CARB: http://www.arb.ca.gov/planning/tsaq/eval/eval.htm (Default is 0.75 but for travel to and from park and ride lots, use 0.9)</t>
  </si>
  <si>
    <t>Average Trip Length (LL) for Auto Access to  rideshare (miles, one-way)</t>
  </si>
  <si>
    <t>County</t>
  </si>
  <si>
    <t>Marion County, Indiana</t>
  </si>
  <si>
    <t>General</t>
  </si>
  <si>
    <t>SO2</t>
  </si>
  <si>
    <t>Winter</t>
  </si>
  <si>
    <t>CO</t>
  </si>
  <si>
    <t>2015 Running Emission Rates (g/mile)</t>
  </si>
  <si>
    <t>Passenger Trucks</t>
  </si>
  <si>
    <t>2015 Idle Emission Rates (grams/hour)</t>
  </si>
  <si>
    <t>2025 Running Emission Rates (g/mile)</t>
  </si>
  <si>
    <t>Passenger Truck</t>
  </si>
  <si>
    <t>2025 Idle Emission Rates (grams/hour)</t>
  </si>
  <si>
    <t>Light Duty Emission Factor SO2 (g/mi)</t>
  </si>
  <si>
    <t>Light Duty Emission Factor CO (g/mi)</t>
  </si>
  <si>
    <t>Light Duty Emissions SO2 (g/mi)</t>
  </si>
  <si>
    <t>Light Duty Emissions CO (g/mi)</t>
  </si>
  <si>
    <t>All Trucks Emission Factor SO2 (g/mi)</t>
  </si>
  <si>
    <t>All Trucks Emission Factor CO (g/mi)</t>
  </si>
  <si>
    <t>Light Duty Emission Factor SO2 (g/hour)</t>
  </si>
  <si>
    <t>Light Duty Emission Factor CO (g/hour)</t>
  </si>
  <si>
    <t>Truck Emission Factor CO (g/hour)</t>
  </si>
  <si>
    <t>Truck Emission Factor SO2 (g/hour)</t>
  </si>
  <si>
    <t>Existing Total Daily Emissions SO2 (g)</t>
  </si>
  <si>
    <t>Existing Total Daily Emissions CO (g)</t>
  </si>
  <si>
    <t>Improved Total Daily Emissions SO2 (g)</t>
  </si>
  <si>
    <t>Improved Total Daily Emissions CO (g)</t>
  </si>
  <si>
    <t>Total Annual Reductions in SO2 Emissions (g/year)</t>
  </si>
  <si>
    <t>Total Annual Reductions in CO Emissions (g/year)</t>
  </si>
  <si>
    <t>Total Daily Reductions in SO2 Emissions (short tons/day)</t>
  </si>
  <si>
    <t>Total Daily Reductions in CO Emissions (short tons/day)</t>
  </si>
  <si>
    <t>Emission Factor for SO2 (g/mi)</t>
  </si>
  <si>
    <t>Emission Factor for CO (g/mi)</t>
  </si>
  <si>
    <t>Added Transit SO2 Emissions (g/year)</t>
  </si>
  <si>
    <t>Added Transit CO Emissions (g/year)</t>
  </si>
  <si>
    <t>CARB Documentation - Use 200 instead of 250 to account for local climate</t>
  </si>
  <si>
    <t>Predicted Total Daily Pedestrian Demand for Facility</t>
  </si>
  <si>
    <t>Added GHG Emissions (g CO2eq /year)</t>
  </si>
  <si>
    <t>Added PM Nox Emissions (g/year)</t>
  </si>
  <si>
    <t>Added PM2.5 Emissions (g/year)</t>
  </si>
  <si>
    <t>Added Nox Emissions (g/year)</t>
  </si>
  <si>
    <t>Added VOC Emissions (g/year)</t>
  </si>
  <si>
    <t>Added SO2 Emissions (g/year)</t>
  </si>
  <si>
    <t>Added CO Emissions (g/year)</t>
  </si>
  <si>
    <t>New / Altered Transit Service</t>
  </si>
  <si>
    <t>Full Size Transit Bus</t>
  </si>
  <si>
    <t>Paratransit/Shuttle Bus</t>
  </si>
  <si>
    <t>Type of Bus</t>
  </si>
  <si>
    <t>New Signal Proposed Cycle Length (sec)</t>
  </si>
  <si>
    <t>Number of Lanes After Improvement</t>
  </si>
  <si>
    <t>Light Duty Emission Factor GHG (g CO2eq/hour)</t>
  </si>
  <si>
    <t>Truck Emission Factor for PM Nox (g/hour)</t>
  </si>
  <si>
    <t>Truck Emission Factor for PM (g/hour)</t>
  </si>
  <si>
    <t>Truck Emission Factor for NOx (g/hour)</t>
  </si>
  <si>
    <t>Truck Emission Factor for VOC (g/hour)</t>
  </si>
  <si>
    <t>Truck Emission Factor for GHG (g CO2eq/hour)</t>
  </si>
  <si>
    <t>Total Annual Reductions in GHG emissions (g CO2eq /year)</t>
  </si>
  <si>
    <t>Light Duty Emission Factor GHG (gCO2eq/mi)</t>
  </si>
  <si>
    <t>All Trucks Emission Factor GHG (gCO2eq/mi)</t>
  </si>
  <si>
    <t>Light Duty Emissions GHG (gCO2eq)</t>
  </si>
  <si>
    <t>Light Duty Emissions SO2 (g)</t>
  </si>
  <si>
    <t>Light Duty Emissions CO (g)</t>
  </si>
  <si>
    <t>All Trucks Emissions GHG (gCO2eq)</t>
  </si>
  <si>
    <t>All Trucks Emissions PM NOx(g)</t>
  </si>
  <si>
    <t>All Trucks Emissions PM (g)</t>
  </si>
  <si>
    <t>All Trucks Emissions NOx (g)</t>
  </si>
  <si>
    <t>All Trucks Emissions VOC (g)</t>
  </si>
  <si>
    <t>All Trucks Emissions SO2 (g)</t>
  </si>
  <si>
    <t>All Trucks Emissions CO (g)</t>
  </si>
  <si>
    <t>Truck Emission Factor GHG (g CO2eq/hour)</t>
  </si>
  <si>
    <t>Improved Total Daily Emissions GHG (g CO2eq)</t>
  </si>
  <si>
    <t>Existing Total Daily Emissions GHG (g CO2eq)</t>
  </si>
  <si>
    <t>Light Duty Emission Factor GHG (g CO2eq/mi)</t>
  </si>
  <si>
    <t>Light Duty Emissions GHG (g CO2eq)</t>
  </si>
  <si>
    <t>Average Number of Passengers per Carpool (per vehicle)</t>
  </si>
  <si>
    <t>Average Number of Passengers per Vanpool (per vehicle)</t>
  </si>
  <si>
    <t>Auto Occupancy for vehicles before carpool/vanpool strategy</t>
  </si>
  <si>
    <t>Reference</t>
  </si>
  <si>
    <t>--</t>
  </si>
  <si>
    <t>67 mph</t>
  </si>
  <si>
    <t>39 mph</t>
  </si>
  <si>
    <t>52 mph</t>
  </si>
  <si>
    <t>29 mph</t>
  </si>
  <si>
    <t>38 mph</t>
  </si>
  <si>
    <t>53 mph</t>
  </si>
  <si>
    <t>Facility Type of Parallel Arterial</t>
  </si>
  <si>
    <t>Collector</t>
  </si>
  <si>
    <t>http://davidpritchard.org/sustrans/papers/Cam09/Moving%20Cooler_Appendices_Complete_102209.pdf</t>
  </si>
  <si>
    <t>From Indy MPO</t>
  </si>
  <si>
    <t>CBD Fringe</t>
  </si>
  <si>
    <t>Suburban CBD</t>
  </si>
  <si>
    <t>Density</t>
  </si>
  <si>
    <t>VMT</t>
  </si>
  <si>
    <t>Interpolated VMT</t>
  </si>
  <si>
    <t>Fraction</t>
  </si>
  <si>
    <t>New Percentage - Bus</t>
  </si>
  <si>
    <t>New Percentage - Fixed</t>
  </si>
  <si>
    <t>One Lane</t>
  </si>
  <si>
    <t>Two Lanes</t>
  </si>
  <si>
    <t>Roundabouts</t>
  </si>
  <si>
    <t>Proposed Number of Lanes inside Roundabout</t>
  </si>
  <si>
    <t>Number of Lanes inside Roundabout</t>
  </si>
  <si>
    <t>North 
(Approach 1)</t>
  </si>
  <si>
    <t>West 
(Approach 4)</t>
  </si>
  <si>
    <t>South 
(Approach 2)</t>
  </si>
  <si>
    <t>Number of Entry Lanes</t>
  </si>
  <si>
    <t>Number of Conflicting Lanes</t>
  </si>
  <si>
    <r>
      <t xml:space="preserve">Capacity - </t>
    </r>
    <r>
      <rPr>
        <i/>
        <sz val="11"/>
        <rFont val="Calibri"/>
        <family val="2"/>
        <scheme val="minor"/>
      </rPr>
      <t>B</t>
    </r>
    <r>
      <rPr>
        <sz val="11"/>
        <rFont val="Calibri"/>
        <family val="2"/>
        <scheme val="minor"/>
      </rPr>
      <t xml:space="preserve"> Value</t>
    </r>
  </si>
  <si>
    <t>Number of Lanes on Conflicting Approach (North Entry)</t>
  </si>
  <si>
    <t>Number of Lanes on Conflicting Approach (South Entry)</t>
  </si>
  <si>
    <t>Number of Lanes on Conflicting Approach (East Entry)</t>
  </si>
  <si>
    <t>Number of Lanes on Conflicting Approach (West Entry)</t>
  </si>
  <si>
    <t>Various</t>
  </si>
  <si>
    <t>Roundabout capacity equations 4-3 through 4-6: http://onlinepubs.trb.org/onlinepubs/nchrp/nchrp_rpt_672.pdf</t>
  </si>
  <si>
    <t>Number of Lanes per Approach and Conflicting Movement</t>
  </si>
  <si>
    <t>One and Two Lanes (Hybrid)</t>
  </si>
  <si>
    <t>http://www.modot.org/tsc/documents/5-RoundaboutsinHCM.pdf</t>
  </si>
  <si>
    <r>
      <t xml:space="preserve">Capacity - Default </t>
    </r>
    <r>
      <rPr>
        <i/>
        <sz val="11"/>
        <rFont val="Calibri"/>
        <family val="2"/>
        <scheme val="minor"/>
      </rPr>
      <t>B</t>
    </r>
    <r>
      <rPr>
        <sz val="11"/>
        <rFont val="Calibri"/>
        <family val="2"/>
        <scheme val="minor"/>
      </rPr>
      <t xml:space="preserve"> value for 1 Conflicting Lane (1 Lane Roundabout)</t>
    </r>
  </si>
  <si>
    <r>
      <t xml:space="preserve">Capacity - Default </t>
    </r>
    <r>
      <rPr>
        <i/>
        <sz val="11"/>
        <rFont val="Calibri"/>
        <family val="2"/>
        <scheme val="minor"/>
      </rPr>
      <t>B</t>
    </r>
    <r>
      <rPr>
        <sz val="11"/>
        <rFont val="Calibri"/>
        <family val="2"/>
        <scheme val="minor"/>
      </rPr>
      <t xml:space="preserve"> value for 2 Conflicting Lanes, One Lane Entry</t>
    </r>
  </si>
  <si>
    <r>
      <t xml:space="preserve">Capacity - Default </t>
    </r>
    <r>
      <rPr>
        <i/>
        <sz val="11"/>
        <rFont val="Calibri"/>
        <family val="2"/>
        <scheme val="minor"/>
      </rPr>
      <t>B</t>
    </r>
    <r>
      <rPr>
        <sz val="11"/>
        <rFont val="Calibri"/>
        <family val="2"/>
        <scheme val="minor"/>
      </rPr>
      <t xml:space="preserve"> value for 2 Conflicting Lanes, 2 Lane Entry, Right</t>
    </r>
  </si>
  <si>
    <r>
      <t xml:space="preserve">Capacity - Default </t>
    </r>
    <r>
      <rPr>
        <i/>
        <sz val="11"/>
        <rFont val="Calibri"/>
        <family val="2"/>
        <scheme val="minor"/>
      </rPr>
      <t>B</t>
    </r>
    <r>
      <rPr>
        <sz val="11"/>
        <rFont val="Calibri"/>
        <family val="2"/>
        <scheme val="minor"/>
      </rPr>
      <t xml:space="preserve"> value for 2 Conflicting Lanes, 2 Lane Entry, Left</t>
    </r>
  </si>
  <si>
    <t>Entry Flow of Single or Right Lane (pc/h)</t>
  </si>
  <si>
    <t>Entry Flow of Left Lane (pc/h)</t>
  </si>
  <si>
    <t>Single or Right Lane</t>
  </si>
  <si>
    <t>Left Lane</t>
  </si>
  <si>
    <t>Use this diagram to select the number of lanes at the conflicting approach (Vc point) and at the entry approach (Ve point)</t>
  </si>
  <si>
    <t>Number of Entry Approach Lanes (North)</t>
  </si>
  <si>
    <t>Number of Entry Approach Lanes (South)</t>
  </si>
  <si>
    <t>Number of Entry Approach Lanes (East)</t>
  </si>
  <si>
    <t>Number of Entry Approach Lanes (West)</t>
  </si>
  <si>
    <t>Total Annual Reductions in GHG emissions (kg CO2 /year)</t>
  </si>
  <si>
    <t>Total Annual Reductions in PM NOx Emissions (kg/year)</t>
  </si>
  <si>
    <t>Total Annual Reductions in PM Emissions (kg/year)</t>
  </si>
  <si>
    <t>Total Annual Reductions in NOx Emissions (kg/year)</t>
  </si>
  <si>
    <t>Total Annual Reductions in VOC Emissions (kg/year)</t>
  </si>
  <si>
    <t>Total Annual Reductions in SO2 Emissions (kg/year)</t>
  </si>
  <si>
    <t>Total Annual Reductions in CO Emissions (kg/year)</t>
  </si>
  <si>
    <t>Total Daily Reductions in GHG emissions (kg /day)</t>
  </si>
  <si>
    <t>Total Daily Reductions in PM NOx Emissions (kg/day)</t>
  </si>
  <si>
    <t>Total Daily Reductions in PM Emissions (kg/day)</t>
  </si>
  <si>
    <t>Total Daily Reductions in NOx Emissions (kg/day)</t>
  </si>
  <si>
    <t>Total Daily Reductions in VOC Emissions (kg/day)</t>
  </si>
  <si>
    <t>Total Daily Reductions in SO2 Emissions (kg/day)</t>
  </si>
  <si>
    <t>Total Daily Reductions in CO Emissions (kg/day)</t>
  </si>
  <si>
    <t>CMAQ dollars total</t>
  </si>
  <si>
    <t>Project Life (years)</t>
  </si>
  <si>
    <t>CMAQ PM NOx Emissions (CMAQ$/kg/year)</t>
  </si>
  <si>
    <t>CMAQ PM Emissions (CMAQ$/kg/year)</t>
  </si>
  <si>
    <t>CMAQ NOx Emissions (CMAQ$/kg/day)</t>
  </si>
  <si>
    <t>CMAQ VOC Emissions (CMAQ$/kg/day)</t>
  </si>
  <si>
    <t>CMAQ CO Emissions (CMAQ$/kg/day)</t>
  </si>
  <si>
    <t>Daily Reductions in GHG emissions (kg CO2 /day)</t>
  </si>
  <si>
    <t>Daily Reductions in PM NOx Emissions (kg/day)</t>
  </si>
  <si>
    <t>Daily Reductions in PM Emissions (kg/day)</t>
  </si>
  <si>
    <t>Daily Reductions in NOx Emissions (kg/day)</t>
  </si>
  <si>
    <t>Daily Reductions in VOC Emissions (kg/day)</t>
  </si>
  <si>
    <t xml:space="preserve">Daily Reductions in SO2 Emissions (kg/day)  </t>
  </si>
  <si>
    <t>Daily Reductio ns in CO Emissions (kg/day)</t>
  </si>
  <si>
    <t>Daily Reductions in CO Emissions (kg/day)</t>
  </si>
  <si>
    <t>Daily Reductions in SO2 Emissions (kg/day)</t>
  </si>
  <si>
    <t>Total Annual Reductions in GHG emissions (kg CO2eq /year)</t>
  </si>
  <si>
    <t>Total Daily Reductions in GHG emissions (kg/day)</t>
  </si>
  <si>
    <t xml:space="preserve">Daily Reductions in SO2 Emissions (kg/day)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</si>
</sst>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"/>
    <numFmt numFmtId="166" formatCode="0.0%"/>
    <numFmt numFmtId="167" formatCode="0.0000"/>
    <numFmt numFmtId="168" formatCode="_(* #,##0.000_);_(* \(#,##0.000\);_(* &quot;-&quot;??_);_(@_)"/>
    <numFmt numFmtId="169" formatCode="_(* #,##0.0_);_(* \(#,##0.0\);_(* &quot;-&quot;??_);_(@_)"/>
    <numFmt numFmtId="170" formatCode="#,##0.0"/>
    <numFmt numFmtId="171" formatCode="#,##0.0_);\(#,##0.0\)"/>
    <numFmt numFmtId="172" formatCode="0.0000000000%"/>
    <numFmt numFmtId="173" formatCode="[$-409]mmmm\ d\,\ yyyy;@"/>
    <numFmt numFmtId="174" formatCode="0_);\(0\)"/>
    <numFmt numFmtId="175" formatCode="#,##0.000_);\(#,##0.000\)"/>
    <numFmt numFmtId="176" formatCode="#,##0.00000_);\(#,##0.00000\)"/>
    <numFmt numFmtId="177" formatCode="0.000"/>
    <numFmt numFmtId="178" formatCode="0.00000"/>
    <numFmt numFmtId="179" formatCode="#,##0.0000_);\(#,##0.0000\)"/>
    <numFmt numFmtId="180" formatCode="#,##0.00000"/>
    <numFmt numFmtId="181" formatCode="#,##0.000"/>
    <numFmt numFmtId="182" formatCode="#,##0.0000"/>
    <numFmt numFmtId="183" formatCode="&quot;$&quot;#,##0.000_);\(&quot;$&quot;#,##0.000\)"/>
  </numFmts>
  <fonts count="76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3F3F76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3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000000"/>
      <name val="Book Antiqua"/>
      <family val="1"/>
    </font>
    <font>
      <sz val="10"/>
      <color rgb="FF000000"/>
      <name val="Book Antiqua"/>
      <family val="1"/>
    </font>
    <font>
      <sz val="11"/>
      <color theme="1"/>
      <name val="Book Antiqua"/>
      <family val="1"/>
    </font>
    <font>
      <sz val="11"/>
      <color rgb="FF00B050"/>
      <name val="Calibri"/>
      <family val="2"/>
      <scheme val="minor"/>
    </font>
    <font>
      <b/>
      <sz val="10"/>
      <name val="Calibri"/>
      <family val="2"/>
      <scheme val="minor"/>
    </font>
    <font>
      <sz val="11"/>
      <color indexed="9"/>
      <name val="Calibri"/>
      <family val="2"/>
    </font>
    <font>
      <sz val="11"/>
      <color indexed="60"/>
      <name val="Calibri"/>
      <family val="2"/>
    </font>
    <font>
      <sz val="10"/>
      <name val="Times New Roman"/>
      <family val="1"/>
    </font>
    <font>
      <u/>
      <sz val="10"/>
      <color indexed="12"/>
      <name val="Arial"/>
      <family val="2"/>
    </font>
    <font>
      <sz val="8"/>
      <name val="Helv"/>
    </font>
    <font>
      <b/>
      <sz val="12"/>
      <name val="Helv"/>
    </font>
    <font>
      <sz val="22"/>
      <color theme="0"/>
      <name val="Calibri"/>
      <family val="2"/>
      <scheme val="minor"/>
    </font>
    <font>
      <u/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b/>
      <sz val="9"/>
      <name val="Arial"/>
      <family val="2"/>
    </font>
    <font>
      <sz val="18"/>
      <name val="Arial"/>
      <family val="2"/>
    </font>
    <font>
      <sz val="14"/>
      <name val="Arial"/>
      <family val="2"/>
    </font>
    <font>
      <u/>
      <sz val="11"/>
      <color theme="10"/>
      <name val="Calibri"/>
      <family val="2"/>
    </font>
    <font>
      <vertAlign val="superscript"/>
      <sz val="12"/>
      <name val="Helv"/>
    </font>
    <font>
      <sz val="10"/>
      <color theme="0"/>
      <name val="Arial"/>
      <family val="2"/>
    </font>
    <font>
      <b/>
      <sz val="2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2"/>
      <name val="Calibri"/>
      <family val="2"/>
      <scheme val="minor"/>
    </font>
    <font>
      <sz val="2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MS Sans Serif"/>
    </font>
    <font>
      <sz val="11"/>
      <color theme="0" tint="-4.9989318521683403E-2"/>
      <name val="Calibri"/>
      <family val="2"/>
      <scheme val="minor"/>
    </font>
    <font>
      <sz val="9"/>
      <color indexed="81"/>
      <name val="Tahoma"/>
      <charset val="1"/>
    </font>
  </fonts>
  <fills count="56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CC99"/>
      </patternFill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49"/>
      </patternFill>
    </fill>
    <fill>
      <patternFill patternType="solid">
        <fgColor indexed="43"/>
      </patternFill>
    </fill>
    <fill>
      <patternFill patternType="solid">
        <fgColor rgb="FF99CC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82323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2D050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69">
    <xf numFmtId="0" fontId="0" fillId="0" borderId="0"/>
    <xf numFmtId="43" fontId="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9" fontId="8" fillId="0" borderId="0" applyFont="0" applyFill="0" applyBorder="0" applyAlignment="0" applyProtection="0"/>
    <xf numFmtId="0" fontId="15" fillId="7" borderId="2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8" fillId="9" borderId="18" applyNumberFormat="0" applyFont="0" applyAlignment="0" applyProtection="0"/>
    <xf numFmtId="0" fontId="14" fillId="0" borderId="0">
      <alignment horizontal="left" vertical="center" wrapText="1"/>
    </xf>
    <xf numFmtId="0" fontId="21" fillId="0" borderId="0">
      <alignment vertical="top"/>
    </xf>
    <xf numFmtId="44" fontId="14" fillId="0" borderId="0" applyFont="0" applyFill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4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8" applyNumberFormat="0" applyFont="0" applyAlignment="0" applyProtection="0"/>
    <xf numFmtId="9" fontId="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36" fillId="0" borderId="0">
      <alignment horizontal="left"/>
    </xf>
    <xf numFmtId="0" fontId="37" fillId="0" borderId="0">
      <alignment horizontal="left"/>
    </xf>
    <xf numFmtId="0" fontId="1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29" applyNumberFormat="0" applyFill="0" applyAlignment="0" applyProtection="0"/>
    <xf numFmtId="0" fontId="42" fillId="0" borderId="30" applyNumberFormat="0" applyFill="0" applyAlignment="0" applyProtection="0"/>
    <xf numFmtId="0" fontId="43" fillId="0" borderId="31" applyNumberFormat="0" applyFill="0" applyAlignment="0" applyProtection="0"/>
    <xf numFmtId="0" fontId="43" fillId="0" borderId="0" applyNumberFormat="0" applyFill="0" applyBorder="0" applyAlignment="0" applyProtection="0"/>
    <xf numFmtId="0" fontId="44" fillId="16" borderId="0" applyNumberFormat="0" applyBorder="0" applyAlignment="0" applyProtection="0"/>
    <xf numFmtId="0" fontId="45" fillId="17" borderId="0" applyNumberFormat="0" applyBorder="0" applyAlignment="0" applyProtection="0"/>
    <xf numFmtId="0" fontId="46" fillId="18" borderId="0" applyNumberFormat="0" applyBorder="0" applyAlignment="0" applyProtection="0"/>
    <xf numFmtId="0" fontId="47" fillId="19" borderId="32" applyNumberFormat="0" applyAlignment="0" applyProtection="0"/>
    <xf numFmtId="0" fontId="48" fillId="19" borderId="2" applyNumberFormat="0" applyAlignment="0" applyProtection="0"/>
    <xf numFmtId="0" fontId="49" fillId="0" borderId="33" applyNumberFormat="0" applyFill="0" applyAlignment="0" applyProtection="0"/>
    <xf numFmtId="0" fontId="50" fillId="20" borderId="34" applyNumberFormat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2" fillId="0" borderId="35" applyNumberFormat="0" applyFill="0" applyAlignment="0" applyProtection="0"/>
    <xf numFmtId="0" fontId="10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10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10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10" fillId="42" borderId="0" applyNumberFormat="0" applyBorder="0" applyAlignment="0" applyProtection="0"/>
    <xf numFmtId="0" fontId="7" fillId="0" borderId="0"/>
    <xf numFmtId="0" fontId="8" fillId="0" borderId="0"/>
    <xf numFmtId="43" fontId="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9" fontId="8" fillId="0" borderId="0" applyFont="0" applyFill="0" applyBorder="0" applyAlignment="0" applyProtection="0"/>
    <xf numFmtId="0" fontId="15" fillId="7" borderId="2" applyNumberFormat="0" applyAlignment="0" applyProtection="0"/>
    <xf numFmtId="0" fontId="8" fillId="9" borderId="18" applyNumberFormat="0" applyFont="0" applyAlignment="0" applyProtection="0"/>
    <xf numFmtId="0" fontId="41" fillId="0" borderId="29" applyNumberFormat="0" applyFill="0" applyAlignment="0" applyProtection="0"/>
    <xf numFmtId="0" fontId="42" fillId="0" borderId="30" applyNumberFormat="0" applyFill="0" applyAlignment="0" applyProtection="0"/>
    <xf numFmtId="0" fontId="43" fillId="0" borderId="31" applyNumberFormat="0" applyFill="0" applyAlignment="0" applyProtection="0"/>
    <xf numFmtId="0" fontId="43" fillId="0" borderId="0" applyNumberFormat="0" applyFill="0" applyBorder="0" applyAlignment="0" applyProtection="0"/>
    <xf numFmtId="0" fontId="44" fillId="16" borderId="0" applyNumberFormat="0" applyBorder="0" applyAlignment="0" applyProtection="0"/>
    <xf numFmtId="0" fontId="45" fillId="17" borderId="0" applyNumberFormat="0" applyBorder="0" applyAlignment="0" applyProtection="0"/>
    <xf numFmtId="0" fontId="46" fillId="18" borderId="0" applyNumberFormat="0" applyBorder="0" applyAlignment="0" applyProtection="0"/>
    <xf numFmtId="0" fontId="47" fillId="19" borderId="32" applyNumberFormat="0" applyAlignment="0" applyProtection="0"/>
    <xf numFmtId="0" fontId="48" fillId="19" borderId="2" applyNumberFormat="0" applyAlignment="0" applyProtection="0"/>
    <xf numFmtId="0" fontId="49" fillId="0" borderId="33" applyNumberFormat="0" applyFill="0" applyAlignment="0" applyProtection="0"/>
    <xf numFmtId="0" fontId="50" fillId="20" borderId="34" applyNumberFormat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2" fillId="0" borderId="35" applyNumberFormat="0" applyFill="0" applyAlignment="0" applyProtection="0"/>
    <xf numFmtId="0" fontId="10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10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10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10" fillId="42" borderId="0" applyNumberFormat="0" applyBorder="0" applyAlignment="0" applyProtection="0"/>
    <xf numFmtId="0" fontId="6" fillId="0" borderId="0"/>
    <xf numFmtId="0" fontId="14" fillId="0" borderId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4" fillId="0" borderId="0" applyNumberFormat="0" applyFill="0" applyBorder="0" applyProtection="0">
      <alignment horizontal="left"/>
    </xf>
    <xf numFmtId="0" fontId="14" fillId="0" borderId="36" applyNumberFormat="0" applyFont="0" applyFill="0" applyAlignment="0" applyProtection="0"/>
    <xf numFmtId="0" fontId="54" fillId="0" borderId="0" applyNumberFormat="0" applyFill="0" applyBorder="0" applyProtection="0">
      <alignment horizontal="left"/>
    </xf>
    <xf numFmtId="0" fontId="14" fillId="0" borderId="36" applyNumberFormat="0" applyFont="0" applyFill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173" fontId="36" fillId="0" borderId="0">
      <alignment horizontal="left"/>
    </xf>
    <xf numFmtId="173" fontId="58" fillId="0" borderId="0">
      <alignment horizontal="right"/>
    </xf>
    <xf numFmtId="173" fontId="37" fillId="0" borderId="0">
      <alignment horizontal="left"/>
    </xf>
    <xf numFmtId="0" fontId="59" fillId="2" borderId="0" applyNumberFormat="0" applyBorder="0" applyAlignment="0" applyProtection="0"/>
    <xf numFmtId="0" fontId="59" fillId="3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5" fillId="0" borderId="0"/>
    <xf numFmtId="0" fontId="8" fillId="0" borderId="0"/>
    <xf numFmtId="43" fontId="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9" fontId="8" fillId="0" borderId="0" applyFont="0" applyFill="0" applyBorder="0" applyAlignment="0" applyProtection="0"/>
    <xf numFmtId="0" fontId="15" fillId="7" borderId="2" applyNumberFormat="0" applyAlignment="0" applyProtection="0"/>
    <xf numFmtId="0" fontId="8" fillId="9" borderId="18" applyNumberFormat="0" applyFont="0" applyAlignment="0" applyProtection="0"/>
    <xf numFmtId="0" fontId="41" fillId="0" borderId="29" applyNumberFormat="0" applyFill="0" applyAlignment="0" applyProtection="0"/>
    <xf numFmtId="0" fontId="42" fillId="0" borderId="30" applyNumberFormat="0" applyFill="0" applyAlignment="0" applyProtection="0"/>
    <xf numFmtId="0" fontId="43" fillId="0" borderId="31" applyNumberFormat="0" applyFill="0" applyAlignment="0" applyProtection="0"/>
    <xf numFmtId="0" fontId="43" fillId="0" borderId="0" applyNumberFormat="0" applyFill="0" applyBorder="0" applyAlignment="0" applyProtection="0"/>
    <xf numFmtId="0" fontId="44" fillId="16" borderId="0" applyNumberFormat="0" applyBorder="0" applyAlignment="0" applyProtection="0"/>
    <xf numFmtId="0" fontId="45" fillId="17" borderId="0" applyNumberFormat="0" applyBorder="0" applyAlignment="0" applyProtection="0"/>
    <xf numFmtId="0" fontId="46" fillId="18" borderId="0" applyNumberFormat="0" applyBorder="0" applyAlignment="0" applyProtection="0"/>
    <xf numFmtId="0" fontId="47" fillId="19" borderId="32" applyNumberFormat="0" applyAlignment="0" applyProtection="0"/>
    <xf numFmtId="0" fontId="48" fillId="19" borderId="2" applyNumberFormat="0" applyAlignment="0" applyProtection="0"/>
    <xf numFmtId="0" fontId="49" fillId="0" borderId="33" applyNumberFormat="0" applyFill="0" applyAlignment="0" applyProtection="0"/>
    <xf numFmtId="0" fontId="50" fillId="20" borderId="34" applyNumberFormat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2" fillId="0" borderId="35" applyNumberFormat="0" applyFill="0" applyAlignment="0" applyProtection="0"/>
    <xf numFmtId="0" fontId="10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10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10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10" fillId="42" borderId="0" applyNumberFormat="0" applyBorder="0" applyAlignment="0" applyProtection="0"/>
    <xf numFmtId="0" fontId="5" fillId="0" borderId="0"/>
    <xf numFmtId="0" fontId="5" fillId="0" borderId="0"/>
    <xf numFmtId="0" fontId="4" fillId="0" borderId="0"/>
    <xf numFmtId="0" fontId="8" fillId="0" borderId="0"/>
    <xf numFmtId="43" fontId="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9" fontId="8" fillId="0" borderId="0" applyFont="0" applyFill="0" applyBorder="0" applyAlignment="0" applyProtection="0"/>
    <xf numFmtId="0" fontId="15" fillId="7" borderId="2" applyNumberFormat="0" applyAlignment="0" applyProtection="0"/>
    <xf numFmtId="0" fontId="8" fillId="9" borderId="18" applyNumberFormat="0" applyFont="0" applyAlignment="0" applyProtection="0"/>
    <xf numFmtId="0" fontId="41" fillId="0" borderId="29" applyNumberFormat="0" applyFill="0" applyAlignment="0" applyProtection="0"/>
    <xf numFmtId="0" fontId="42" fillId="0" borderId="30" applyNumberFormat="0" applyFill="0" applyAlignment="0" applyProtection="0"/>
    <xf numFmtId="0" fontId="43" fillId="0" borderId="31" applyNumberFormat="0" applyFill="0" applyAlignment="0" applyProtection="0"/>
    <xf numFmtId="0" fontId="43" fillId="0" borderId="0" applyNumberFormat="0" applyFill="0" applyBorder="0" applyAlignment="0" applyProtection="0"/>
    <xf numFmtId="0" fontId="44" fillId="16" borderId="0" applyNumberFormat="0" applyBorder="0" applyAlignment="0" applyProtection="0"/>
    <xf numFmtId="0" fontId="45" fillId="17" borderId="0" applyNumberFormat="0" applyBorder="0" applyAlignment="0" applyProtection="0"/>
    <xf numFmtId="0" fontId="46" fillId="18" borderId="0" applyNumberFormat="0" applyBorder="0" applyAlignment="0" applyProtection="0"/>
    <xf numFmtId="0" fontId="47" fillId="19" borderId="32" applyNumberFormat="0" applyAlignment="0" applyProtection="0"/>
    <xf numFmtId="0" fontId="48" fillId="19" borderId="2" applyNumberFormat="0" applyAlignment="0" applyProtection="0"/>
    <xf numFmtId="0" fontId="49" fillId="0" borderId="33" applyNumberFormat="0" applyFill="0" applyAlignment="0" applyProtection="0"/>
    <xf numFmtId="0" fontId="50" fillId="20" borderId="34" applyNumberFormat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2" fillId="0" borderId="35" applyNumberFormat="0" applyFill="0" applyAlignment="0" applyProtection="0"/>
    <xf numFmtId="0" fontId="10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10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10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10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9" fontId="8" fillId="0" borderId="0" applyFont="0" applyFill="0" applyBorder="0" applyAlignment="0" applyProtection="0"/>
    <xf numFmtId="0" fontId="15" fillId="7" borderId="2" applyNumberFormat="0" applyAlignment="0" applyProtection="0"/>
    <xf numFmtId="0" fontId="8" fillId="9" borderId="18" applyNumberFormat="0" applyFont="0" applyAlignment="0" applyProtection="0"/>
    <xf numFmtId="0" fontId="41" fillId="0" borderId="29" applyNumberFormat="0" applyFill="0" applyAlignment="0" applyProtection="0"/>
    <xf numFmtId="0" fontId="42" fillId="0" borderId="30" applyNumberFormat="0" applyFill="0" applyAlignment="0" applyProtection="0"/>
    <xf numFmtId="0" fontId="43" fillId="0" borderId="31" applyNumberFormat="0" applyFill="0" applyAlignment="0" applyProtection="0"/>
    <xf numFmtId="0" fontId="43" fillId="0" borderId="0" applyNumberFormat="0" applyFill="0" applyBorder="0" applyAlignment="0" applyProtection="0"/>
    <xf numFmtId="0" fontId="44" fillId="16" borderId="0" applyNumberFormat="0" applyBorder="0" applyAlignment="0" applyProtection="0"/>
    <xf numFmtId="0" fontId="45" fillId="17" borderId="0" applyNumberFormat="0" applyBorder="0" applyAlignment="0" applyProtection="0"/>
    <xf numFmtId="0" fontId="46" fillId="18" borderId="0" applyNumberFormat="0" applyBorder="0" applyAlignment="0" applyProtection="0"/>
    <xf numFmtId="0" fontId="47" fillId="19" borderId="32" applyNumberFormat="0" applyAlignment="0" applyProtection="0"/>
    <xf numFmtId="0" fontId="48" fillId="19" borderId="2" applyNumberFormat="0" applyAlignment="0" applyProtection="0"/>
    <xf numFmtId="0" fontId="49" fillId="0" borderId="33" applyNumberFormat="0" applyFill="0" applyAlignment="0" applyProtection="0"/>
    <xf numFmtId="0" fontId="50" fillId="20" borderId="34" applyNumberFormat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2" fillId="0" borderId="35" applyNumberFormat="0" applyFill="0" applyAlignment="0" applyProtection="0"/>
    <xf numFmtId="0" fontId="10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10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10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10" fillId="4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/>
    <xf numFmtId="0" fontId="8" fillId="0" borderId="0"/>
    <xf numFmtId="43" fontId="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9" fontId="8" fillId="0" borderId="0" applyFont="0" applyFill="0" applyBorder="0" applyAlignment="0" applyProtection="0"/>
    <xf numFmtId="0" fontId="15" fillId="7" borderId="2" applyNumberFormat="0" applyAlignment="0" applyProtection="0"/>
    <xf numFmtId="0" fontId="8" fillId="9" borderId="18" applyNumberFormat="0" applyFont="0" applyAlignment="0" applyProtection="0"/>
    <xf numFmtId="0" fontId="19" fillId="0" borderId="0" applyNumberFormat="0" applyFill="0" applyBorder="0" applyAlignment="0" applyProtection="0"/>
    <xf numFmtId="0" fontId="41" fillId="0" borderId="29" applyNumberFormat="0" applyFill="0" applyAlignment="0" applyProtection="0"/>
    <xf numFmtId="0" fontId="42" fillId="0" borderId="30" applyNumberFormat="0" applyFill="0" applyAlignment="0" applyProtection="0"/>
    <xf numFmtId="0" fontId="43" fillId="0" borderId="31" applyNumberFormat="0" applyFill="0" applyAlignment="0" applyProtection="0"/>
    <xf numFmtId="0" fontId="43" fillId="0" borderId="0" applyNumberFormat="0" applyFill="0" applyBorder="0" applyAlignment="0" applyProtection="0"/>
    <xf numFmtId="0" fontId="44" fillId="16" borderId="0" applyNumberFormat="0" applyBorder="0" applyAlignment="0" applyProtection="0"/>
    <xf numFmtId="0" fontId="45" fillId="17" borderId="0" applyNumberFormat="0" applyBorder="0" applyAlignment="0" applyProtection="0"/>
    <xf numFmtId="0" fontId="46" fillId="18" borderId="0" applyNumberFormat="0" applyBorder="0" applyAlignment="0" applyProtection="0"/>
    <xf numFmtId="0" fontId="47" fillId="19" borderId="32" applyNumberFormat="0" applyAlignment="0" applyProtection="0"/>
    <xf numFmtId="0" fontId="48" fillId="19" borderId="2" applyNumberFormat="0" applyAlignment="0" applyProtection="0"/>
    <xf numFmtId="0" fontId="49" fillId="0" borderId="33" applyNumberFormat="0" applyFill="0" applyAlignment="0" applyProtection="0"/>
    <xf numFmtId="0" fontId="50" fillId="20" borderId="34" applyNumberFormat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2" fillId="0" borderId="35" applyNumberFormat="0" applyFill="0" applyAlignment="0" applyProtection="0"/>
    <xf numFmtId="0" fontId="10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10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10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10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47">
    <xf numFmtId="0" fontId="0" fillId="0" borderId="0" xfId="0"/>
    <xf numFmtId="0" fontId="0" fillId="0" borderId="0" xfId="0" applyFill="1" applyBorder="1"/>
    <xf numFmtId="0" fontId="0" fillId="0" borderId="0" xfId="0" applyBorder="1"/>
    <xf numFmtId="0" fontId="8" fillId="0" borderId="0" xfId="0" applyFont="1"/>
    <xf numFmtId="0" fontId="12" fillId="0" borderId="0" xfId="0" applyFont="1"/>
    <xf numFmtId="0" fontId="0" fillId="0" borderId="0" xfId="0" applyFont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ont="1" applyAlignment="1">
      <alignment horizontal="right"/>
    </xf>
    <xf numFmtId="168" fontId="17" fillId="5" borderId="1" xfId="1" applyNumberFormat="1" applyFont="1" applyFill="1" applyBorder="1" applyAlignment="1">
      <alignment horizontal="right"/>
    </xf>
    <xf numFmtId="165" fontId="17" fillId="5" borderId="1" xfId="4" applyNumberFormat="1" applyFont="1" applyFill="1" applyBorder="1" applyAlignment="1">
      <alignment horizontal="right"/>
    </xf>
    <xf numFmtId="169" fontId="17" fillId="5" borderId="1" xfId="1" applyNumberFormat="1" applyFont="1" applyFill="1" applyBorder="1" applyAlignment="1">
      <alignment horizontal="right"/>
    </xf>
    <xf numFmtId="0" fontId="17" fillId="0" borderId="0" xfId="0" applyFont="1" applyFill="1" applyBorder="1" applyAlignment="1">
      <alignment horizontal="right"/>
    </xf>
    <xf numFmtId="3" fontId="17" fillId="6" borderId="1" xfId="1" applyNumberFormat="1" applyFont="1" applyFill="1" applyBorder="1"/>
    <xf numFmtId="164" fontId="0" fillId="6" borderId="1" xfId="1" applyNumberFormat="1" applyFont="1" applyFill="1" applyBorder="1"/>
    <xf numFmtId="0" fontId="0" fillId="0" borderId="0" xfId="0" applyAlignment="1">
      <alignment horizontal="right"/>
    </xf>
    <xf numFmtId="0" fontId="0" fillId="5" borderId="1" xfId="0" applyFont="1" applyFill="1" applyBorder="1"/>
    <xf numFmtId="39" fontId="0" fillId="6" borderId="1" xfId="0" applyNumberFormat="1" applyFont="1" applyFill="1" applyBorder="1"/>
    <xf numFmtId="164" fontId="17" fillId="5" borderId="1" xfId="1" applyNumberFormat="1" applyFont="1" applyFill="1" applyBorder="1" applyAlignment="1">
      <alignment horizontal="right"/>
    </xf>
    <xf numFmtId="164" fontId="17" fillId="6" borderId="1" xfId="0" applyNumberFormat="1" applyFont="1" applyFill="1" applyBorder="1"/>
    <xf numFmtId="0" fontId="0" fillId="0" borderId="0" xfId="0" applyFont="1" applyFill="1" applyAlignment="1">
      <alignment horizontal="center" vertical="center"/>
    </xf>
    <xf numFmtId="164" fontId="17" fillId="6" borderId="1" xfId="1" applyNumberFormat="1" applyFont="1" applyFill="1" applyBorder="1"/>
    <xf numFmtId="0" fontId="0" fillId="0" borderId="0" xfId="0" applyFont="1" applyBorder="1"/>
    <xf numFmtId="0" fontId="17" fillId="0" borderId="0" xfId="0" applyFont="1" applyFill="1" applyBorder="1"/>
    <xf numFmtId="0" fontId="13" fillId="0" borderId="0" xfId="0" applyFont="1" applyFill="1" applyBorder="1" applyAlignment="1">
      <alignment horizontal="center" wrapText="1"/>
    </xf>
    <xf numFmtId="164" fontId="0" fillId="0" borderId="0" xfId="1" applyNumberFormat="1" applyFont="1" applyFill="1" applyBorder="1"/>
    <xf numFmtId="3" fontId="12" fillId="8" borderId="1" xfId="0" applyNumberFormat="1" applyFont="1" applyFill="1" applyBorder="1" applyAlignment="1">
      <alignment horizontal="center"/>
    </xf>
    <xf numFmtId="3" fontId="12" fillId="4" borderId="1" xfId="0" applyNumberFormat="1" applyFont="1" applyFill="1" applyBorder="1" applyAlignment="1">
      <alignment horizontal="center"/>
    </xf>
    <xf numFmtId="3" fontId="18" fillId="4" borderId="1" xfId="0" applyNumberFormat="1" applyFont="1" applyFill="1" applyBorder="1" applyAlignment="1">
      <alignment horizontal="center"/>
    </xf>
    <xf numFmtId="9" fontId="18" fillId="4" borderId="1" xfId="4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0" fontId="20" fillId="0" borderId="0" xfId="0" applyFont="1"/>
    <xf numFmtId="169" fontId="17" fillId="6" borderId="1" xfId="1" applyNumberFormat="1" applyFont="1" applyFill="1" applyBorder="1"/>
    <xf numFmtId="0" fontId="0" fillId="0" borderId="1" xfId="0" applyBorder="1"/>
    <xf numFmtId="0" fontId="0" fillId="0" borderId="0" xfId="0" applyFill="1" applyBorder="1" applyAlignment="1">
      <alignment vertical="center"/>
    </xf>
    <xf numFmtId="0" fontId="22" fillId="0" borderId="0" xfId="0" applyFont="1"/>
    <xf numFmtId="0" fontId="0" fillId="0" borderId="0" xfId="0" applyAlignment="1">
      <alignment wrapText="1"/>
    </xf>
    <xf numFmtId="3" fontId="18" fillId="8" borderId="1" xfId="0" applyNumberFormat="1" applyFont="1" applyFill="1" applyBorder="1" applyAlignment="1">
      <alignment horizontal="center"/>
    </xf>
    <xf numFmtId="170" fontId="18" fillId="8" borderId="1" xfId="0" applyNumberFormat="1" applyFont="1" applyFill="1" applyBorder="1" applyAlignment="1">
      <alignment horizontal="center"/>
    </xf>
    <xf numFmtId="1" fontId="18" fillId="4" borderId="1" xfId="0" applyNumberFormat="1" applyFont="1" applyFill="1" applyBorder="1" applyAlignment="1">
      <alignment horizontal="center"/>
    </xf>
    <xf numFmtId="0" fontId="22" fillId="0" borderId="0" xfId="0" applyFont="1" applyFill="1"/>
    <xf numFmtId="165" fontId="18" fillId="4" borderId="1" xfId="0" applyNumberFormat="1" applyFont="1" applyFill="1" applyBorder="1" applyAlignment="1">
      <alignment horizontal="center"/>
    </xf>
    <xf numFmtId="167" fontId="18" fillId="4" borderId="1" xfId="0" applyNumberFormat="1" applyFont="1" applyFill="1" applyBorder="1" applyAlignment="1">
      <alignment horizontal="center"/>
    </xf>
    <xf numFmtId="0" fontId="23" fillId="0" borderId="0" xfId="0" applyFont="1"/>
    <xf numFmtId="164" fontId="17" fillId="0" borderId="0" xfId="1" applyNumberFormat="1" applyFont="1" applyFill="1" applyBorder="1"/>
    <xf numFmtId="166" fontId="17" fillId="5" borderId="1" xfId="4" applyNumberFormat="1" applyFont="1" applyFill="1" applyBorder="1" applyAlignment="1">
      <alignment horizontal="right"/>
    </xf>
    <xf numFmtId="0" fontId="18" fillId="0" borderId="0" xfId="0" applyFont="1" applyFill="1" applyBorder="1"/>
    <xf numFmtId="164" fontId="13" fillId="0" borderId="0" xfId="0" applyNumberFormat="1" applyFont="1" applyFill="1" applyBorder="1"/>
    <xf numFmtId="0" fontId="23" fillId="0" borderId="4" xfId="0" applyFont="1" applyFill="1" applyBorder="1" applyAlignment="1">
      <alignment vertical="center"/>
    </xf>
    <xf numFmtId="0" fontId="12" fillId="0" borderId="0" xfId="0" applyFont="1" applyFill="1"/>
    <xf numFmtId="0" fontId="18" fillId="4" borderId="1" xfId="4" applyNumberFormat="1" applyFont="1" applyFill="1" applyBorder="1" applyAlignment="1">
      <alignment horizontal="center" vertical="center" wrapText="1"/>
    </xf>
    <xf numFmtId="0" fontId="18" fillId="4" borderId="1" xfId="4" applyNumberFormat="1" applyFont="1" applyFill="1" applyBorder="1" applyAlignment="1">
      <alignment horizontal="center"/>
    </xf>
    <xf numFmtId="0" fontId="29" fillId="0" borderId="0" xfId="0" applyFont="1"/>
    <xf numFmtId="0" fontId="31" fillId="0" borderId="0" xfId="0" applyFont="1" applyFill="1" applyBorder="1" applyAlignment="1">
      <alignment horizontal="left" wrapText="1"/>
    </xf>
    <xf numFmtId="0" fontId="8" fillId="0" borderId="0" xfId="0" applyFont="1" applyAlignment="1">
      <alignment wrapText="1"/>
    </xf>
    <xf numFmtId="0" fontId="24" fillId="2" borderId="19" xfId="2" applyFont="1" applyBorder="1" applyAlignment="1">
      <alignment vertical="center" wrapText="1"/>
    </xf>
    <xf numFmtId="0" fontId="24" fillId="2" borderId="1" xfId="2" applyFont="1" applyBorder="1" applyAlignment="1">
      <alignment vertical="center" wrapText="1"/>
    </xf>
    <xf numFmtId="0" fontId="24" fillId="2" borderId="1" xfId="2" applyFont="1" applyBorder="1" applyAlignment="1">
      <alignment horizontal="center" vertical="center" wrapText="1"/>
    </xf>
    <xf numFmtId="9" fontId="18" fillId="4" borderId="1" xfId="4" applyNumberFormat="1" applyFont="1" applyFill="1" applyBorder="1" applyAlignment="1">
      <alignment horizontal="center"/>
    </xf>
    <xf numFmtId="43" fontId="17" fillId="6" borderId="1" xfId="1" applyNumberFormat="1" applyFont="1" applyFill="1" applyBorder="1"/>
    <xf numFmtId="164" fontId="17" fillId="6" borderId="5" xfId="1" applyNumberFormat="1" applyFont="1" applyFill="1" applyBorder="1"/>
    <xf numFmtId="0" fontId="8" fillId="0" borderId="0" xfId="0" applyFont="1" applyFill="1" applyBorder="1" applyAlignment="1">
      <alignment wrapText="1"/>
    </xf>
    <xf numFmtId="0" fontId="23" fillId="0" borderId="0" xfId="0" applyFont="1" applyFill="1" applyBorder="1" applyAlignment="1">
      <alignment vertical="center"/>
    </xf>
    <xf numFmtId="0" fontId="12" fillId="0" borderId="0" xfId="0" applyFont="1" applyFill="1" applyBorder="1"/>
    <xf numFmtId="3" fontId="12" fillId="8" borderId="5" xfId="0" applyNumberFormat="1" applyFont="1" applyFill="1" applyBorder="1" applyAlignment="1">
      <alignment horizontal="center"/>
    </xf>
    <xf numFmtId="0" fontId="17" fillId="0" borderId="0" xfId="7" applyFont="1" applyBorder="1"/>
    <xf numFmtId="0" fontId="17" fillId="0" borderId="0" xfId="7" applyFont="1" applyFill="1" applyBorder="1"/>
    <xf numFmtId="39" fontId="0" fillId="6" borderId="1" xfId="0" applyNumberFormat="1" applyFill="1" applyBorder="1"/>
    <xf numFmtId="171" fontId="0" fillId="6" borderId="1" xfId="0" applyNumberFormat="1" applyFont="1" applyFill="1" applyBorder="1"/>
    <xf numFmtId="4" fontId="17" fillId="6" borderId="1" xfId="1" applyNumberFormat="1" applyFont="1" applyFill="1" applyBorder="1"/>
    <xf numFmtId="1" fontId="18" fillId="8" borderId="1" xfId="0" applyNumberFormat="1" applyFont="1" applyFill="1" applyBorder="1" applyAlignment="1">
      <alignment horizontal="center"/>
    </xf>
    <xf numFmtId="0" fontId="18" fillId="8" borderId="1" xfId="0" applyNumberFormat="1" applyFont="1" applyFill="1" applyBorder="1" applyAlignment="1">
      <alignment horizontal="center"/>
    </xf>
    <xf numFmtId="9" fontId="18" fillId="8" borderId="1" xfId="4" applyFont="1" applyFill="1" applyBorder="1" applyAlignment="1">
      <alignment horizontal="center"/>
    </xf>
    <xf numFmtId="4" fontId="0" fillId="6" borderId="1" xfId="0" applyNumberFormat="1" applyFont="1" applyFill="1" applyBorder="1"/>
    <xf numFmtId="39" fontId="17" fillId="6" borderId="1" xfId="0" applyNumberFormat="1" applyFont="1" applyFill="1" applyBorder="1"/>
    <xf numFmtId="169" fontId="17" fillId="6" borderId="1" xfId="0" applyNumberFormat="1" applyFont="1" applyFill="1" applyBorder="1"/>
    <xf numFmtId="164" fontId="17" fillId="0" borderId="0" xfId="0" applyNumberFormat="1" applyFont="1" applyFill="1" applyBorder="1"/>
    <xf numFmtId="0" fontId="8" fillId="0" borderId="0" xfId="21"/>
    <xf numFmtId="0" fontId="8" fillId="0" borderId="0" xfId="21" applyFill="1"/>
    <xf numFmtId="0" fontId="25" fillId="0" borderId="0" xfId="21" applyFont="1"/>
    <xf numFmtId="0" fontId="22" fillId="0" borderId="0" xfId="21" applyFont="1"/>
    <xf numFmtId="0" fontId="8" fillId="0" borderId="0" xfId="21" applyBorder="1"/>
    <xf numFmtId="0" fontId="8" fillId="0" borderId="0" xfId="21" applyFont="1"/>
    <xf numFmtId="0" fontId="8" fillId="0" borderId="0" xfId="21" applyFill="1" applyBorder="1"/>
    <xf numFmtId="0" fontId="8" fillId="5" borderId="1" xfId="21" applyFont="1" applyFill="1" applyBorder="1"/>
    <xf numFmtId="0" fontId="8" fillId="0" borderId="0" xfId="21" applyFont="1" applyFill="1"/>
    <xf numFmtId="0" fontId="8" fillId="0" borderId="0" xfId="21" applyFont="1" applyFill="1" applyAlignment="1">
      <alignment horizontal="center" vertical="center"/>
    </xf>
    <xf numFmtId="169" fontId="17" fillId="6" borderId="1" xfId="20" applyNumberFormat="1" applyFont="1" applyFill="1" applyBorder="1"/>
    <xf numFmtId="164" fontId="17" fillId="6" borderId="1" xfId="20" applyNumberFormat="1" applyFont="1" applyFill="1" applyBorder="1"/>
    <xf numFmtId="0" fontId="8" fillId="0" borderId="0" xfId="21" applyFont="1" applyAlignment="1">
      <alignment wrapText="1"/>
    </xf>
    <xf numFmtId="0" fontId="22" fillId="9" borderId="19" xfId="22" applyFont="1" applyBorder="1" applyAlignment="1">
      <alignment vertical="center" wrapText="1"/>
    </xf>
    <xf numFmtId="0" fontId="22" fillId="9" borderId="1" xfId="22" applyFont="1" applyBorder="1" applyAlignment="1">
      <alignment vertical="center" wrapText="1"/>
    </xf>
    <xf numFmtId="0" fontId="22" fillId="9" borderId="1" xfId="22" applyFont="1" applyBorder="1" applyAlignment="1">
      <alignment horizontal="center" vertical="center" wrapText="1"/>
    </xf>
    <xf numFmtId="0" fontId="22" fillId="9" borderId="1" xfId="22" applyFont="1" applyBorder="1" applyAlignment="1">
      <alignment horizontal="center" vertical="center"/>
    </xf>
    <xf numFmtId="49" fontId="22" fillId="9" borderId="1" xfId="22" applyNumberFormat="1" applyFont="1" applyBorder="1" applyAlignment="1">
      <alignment horizontal="center" vertical="center"/>
    </xf>
    <xf numFmtId="0" fontId="27" fillId="0" borderId="20" xfId="21" applyFont="1" applyBorder="1" applyAlignment="1">
      <alignment horizontal="center" wrapText="1"/>
    </xf>
    <xf numFmtId="0" fontId="27" fillId="0" borderId="21" xfId="21" applyFont="1" applyBorder="1" applyAlignment="1">
      <alignment horizontal="center" wrapText="1"/>
    </xf>
    <xf numFmtId="0" fontId="28" fillId="0" borderId="17" xfId="21" applyFont="1" applyBorder="1" applyAlignment="1">
      <alignment horizontal="left" wrapText="1"/>
    </xf>
    <xf numFmtId="0" fontId="28" fillId="0" borderId="13" xfId="21" applyFont="1" applyBorder="1" applyAlignment="1">
      <alignment horizontal="center" wrapText="1"/>
    </xf>
    <xf numFmtId="0" fontId="29" fillId="0" borderId="0" xfId="21" applyFont="1"/>
    <xf numFmtId="3" fontId="0" fillId="0" borderId="0" xfId="0" applyNumberFormat="1"/>
    <xf numFmtId="0" fontId="12" fillId="0" borderId="0" xfId="0" applyFont="1" applyFill="1" applyBorder="1" applyAlignment="1">
      <alignment horizontal="center"/>
    </xf>
    <xf numFmtId="0" fontId="17" fillId="0" borderId="0" xfId="0" applyFont="1"/>
    <xf numFmtId="165" fontId="14" fillId="5" borderId="1" xfId="4" applyNumberFormat="1" applyFont="1" applyFill="1" applyBorder="1" applyAlignment="1">
      <alignment horizontal="right"/>
    </xf>
    <xf numFmtId="1" fontId="14" fillId="5" borderId="1" xfId="4" applyNumberFormat="1" applyFont="1" applyFill="1" applyBorder="1" applyAlignment="1">
      <alignment horizontal="right"/>
    </xf>
    <xf numFmtId="164" fontId="14" fillId="6" borderId="5" xfId="0" applyNumberFormat="1" applyFont="1" applyFill="1" applyBorder="1"/>
    <xf numFmtId="2" fontId="14" fillId="5" borderId="1" xfId="4" applyNumberFormat="1" applyFont="1" applyFill="1" applyBorder="1" applyAlignment="1">
      <alignment horizontal="right"/>
    </xf>
    <xf numFmtId="164" fontId="14" fillId="0" borderId="0" xfId="0" applyNumberFormat="1" applyFont="1" applyFill="1" applyBorder="1"/>
    <xf numFmtId="0" fontId="0" fillId="14" borderId="1" xfId="0" applyFill="1" applyBorder="1"/>
    <xf numFmtId="0" fontId="0" fillId="15" borderId="1" xfId="0" applyFill="1" applyBorder="1"/>
    <xf numFmtId="0" fontId="9" fillId="0" borderId="25" xfId="0" applyFont="1" applyFill="1" applyBorder="1"/>
    <xf numFmtId="0" fontId="0" fillId="0" borderId="1" xfId="0" applyFill="1" applyBorder="1"/>
    <xf numFmtId="0" fontId="39" fillId="0" borderId="0" xfId="27" applyFont="1"/>
    <xf numFmtId="0" fontId="23" fillId="0" borderId="0" xfId="0" applyFont="1" applyAlignment="1">
      <alignment horizontal="left"/>
    </xf>
    <xf numFmtId="0" fontId="23" fillId="0" borderId="0" xfId="0" applyFont="1" applyFill="1" applyBorder="1"/>
    <xf numFmtId="0" fontId="23" fillId="0" borderId="0" xfId="0" applyFont="1" applyBorder="1"/>
    <xf numFmtId="0" fontId="17" fillId="0" borderId="0" xfId="0" applyFont="1" applyFill="1"/>
    <xf numFmtId="0" fontId="17" fillId="0" borderId="0" xfId="0" applyFont="1" applyAlignment="1">
      <alignment wrapText="1"/>
    </xf>
    <xf numFmtId="170" fontId="12" fillId="8" borderId="1" xfId="0" applyNumberFormat="1" applyFont="1" applyFill="1" applyBorder="1" applyAlignment="1">
      <alignment horizontal="center"/>
    </xf>
    <xf numFmtId="0" fontId="17" fillId="0" borderId="0" xfId="21" applyFont="1"/>
    <xf numFmtId="0" fontId="17" fillId="0" borderId="0" xfId="21" applyFont="1" applyFill="1"/>
    <xf numFmtId="37" fontId="18" fillId="0" borderId="0" xfId="0" applyNumberFormat="1" applyFont="1" applyFill="1" applyBorder="1"/>
    <xf numFmtId="0" fontId="17" fillId="0" borderId="0" xfId="27" applyFont="1"/>
    <xf numFmtId="2" fontId="17" fillId="5" borderId="1" xfId="4" applyNumberFormat="1" applyFont="1" applyFill="1" applyBorder="1" applyAlignment="1">
      <alignment horizontal="right"/>
    </xf>
    <xf numFmtId="43" fontId="17" fillId="5" borderId="1" xfId="1" applyNumberFormat="1" applyFont="1" applyFill="1" applyBorder="1" applyAlignment="1">
      <alignment horizontal="right"/>
    </xf>
    <xf numFmtId="0" fontId="0" fillId="8" borderId="0" xfId="0" applyFill="1"/>
    <xf numFmtId="2" fontId="17" fillId="5" borderId="19" xfId="4" applyNumberFormat="1" applyFont="1" applyFill="1" applyBorder="1" applyAlignment="1">
      <alignment horizontal="right"/>
    </xf>
    <xf numFmtId="164" fontId="8" fillId="0" borderId="0" xfId="0" applyNumberFormat="1" applyFont="1" applyFill="1" applyBorder="1" applyAlignment="1">
      <alignment wrapText="1"/>
    </xf>
    <xf numFmtId="43" fontId="17" fillId="0" borderId="0" xfId="0" applyNumberFormat="1" applyFont="1"/>
    <xf numFmtId="168" fontId="17" fillId="6" borderId="1" xfId="0" applyNumberFormat="1" applyFont="1" applyFill="1" applyBorder="1"/>
    <xf numFmtId="0" fontId="9" fillId="0" borderId="3" xfId="0" applyFont="1" applyFill="1" applyBorder="1"/>
    <xf numFmtId="4" fontId="0" fillId="0" borderId="0" xfId="0" applyNumberFormat="1"/>
    <xf numFmtId="172" fontId="0" fillId="0" borderId="0" xfId="0" applyNumberFormat="1"/>
    <xf numFmtId="0" fontId="0" fillId="0" borderId="0" xfId="0" applyAlignment="1"/>
    <xf numFmtId="0" fontId="17" fillId="0" borderId="0" xfId="0" applyFont="1" applyFill="1" applyBorder="1" applyAlignment="1">
      <alignment horizontal="left" indent="1"/>
    </xf>
    <xf numFmtId="4" fontId="0" fillId="0" borderId="0" xfId="0" applyNumberFormat="1" applyFill="1"/>
    <xf numFmtId="0" fontId="0" fillId="0" borderId="0" xfId="0" applyFill="1" applyAlignment="1">
      <alignment wrapText="1"/>
    </xf>
    <xf numFmtId="4" fontId="17" fillId="5" borderId="1" xfId="4" applyNumberFormat="1" applyFont="1" applyFill="1" applyBorder="1" applyAlignment="1">
      <alignment horizontal="right"/>
    </xf>
    <xf numFmtId="9" fontId="14" fillId="5" borderId="1" xfId="4" applyNumberFormat="1" applyFont="1" applyFill="1" applyBorder="1" applyAlignment="1">
      <alignment horizontal="right"/>
    </xf>
    <xf numFmtId="0" fontId="28" fillId="0" borderId="13" xfId="21" applyFont="1" applyBorder="1" applyAlignment="1">
      <alignment horizontal="left" wrapText="1"/>
    </xf>
    <xf numFmtId="1" fontId="17" fillId="6" borderId="1" xfId="20" applyNumberFormat="1" applyFont="1" applyFill="1" applyBorder="1"/>
    <xf numFmtId="3" fontId="8" fillId="0" borderId="0" xfId="21" applyNumberFormat="1"/>
    <xf numFmtId="1" fontId="8" fillId="0" borderId="0" xfId="21" applyNumberFormat="1" applyFont="1" applyAlignment="1">
      <alignment wrapText="1"/>
    </xf>
    <xf numFmtId="2" fontId="17" fillId="6" borderId="1" xfId="20" applyNumberFormat="1" applyFont="1" applyFill="1" applyBorder="1"/>
    <xf numFmtId="164" fontId="14" fillId="6" borderId="1" xfId="0" applyNumberFormat="1" applyFont="1" applyFill="1" applyBorder="1"/>
    <xf numFmtId="0" fontId="17" fillId="0" borderId="0" xfId="17" applyFont="1" applyFill="1" applyBorder="1" applyAlignment="1">
      <alignment horizontal="left" indent="1"/>
    </xf>
    <xf numFmtId="2" fontId="17" fillId="0" borderId="0" xfId="4" applyNumberFormat="1" applyFont="1" applyFill="1" applyBorder="1" applyAlignment="1">
      <alignment horizontal="right"/>
    </xf>
    <xf numFmtId="37" fontId="17" fillId="6" borderId="1" xfId="20" applyNumberFormat="1" applyFont="1" applyFill="1" applyBorder="1"/>
    <xf numFmtId="0" fontId="9" fillId="0" borderId="0" xfId="7" quotePrefix="1" applyFont="1" applyBorder="1"/>
    <xf numFmtId="3" fontId="0" fillId="0" borderId="0" xfId="21" applyNumberFormat="1" applyFont="1"/>
    <xf numFmtId="43" fontId="8" fillId="0" borderId="0" xfId="21" applyNumberFormat="1"/>
    <xf numFmtId="0" fontId="8" fillId="0" borderId="0" xfId="0" applyFont="1" applyFill="1" applyBorder="1" applyAlignment="1">
      <alignment wrapText="1"/>
    </xf>
    <xf numFmtId="0" fontId="19" fillId="0" borderId="0" xfId="27"/>
    <xf numFmtId="43" fontId="17" fillId="0" borderId="0" xfId="7" applyNumberFormat="1" applyFont="1" applyBorder="1"/>
    <xf numFmtId="0" fontId="0" fillId="0" borderId="0" xfId="21" applyFont="1"/>
    <xf numFmtId="0" fontId="9" fillId="0" borderId="0" xfId="7" applyFont="1" applyBorder="1"/>
    <xf numFmtId="3" fontId="8" fillId="0" borderId="0" xfId="21" applyNumberFormat="1"/>
    <xf numFmtId="0" fontId="0" fillId="0" borderId="0" xfId="0" applyFill="1"/>
    <xf numFmtId="3" fontId="12" fillId="4" borderId="1" xfId="0" applyNumberFormat="1" applyFont="1" applyFill="1" applyBorder="1" applyAlignment="1">
      <alignment horizontal="center"/>
    </xf>
    <xf numFmtId="0" fontId="50" fillId="48" borderId="24" xfId="0" applyFont="1" applyFill="1" applyBorder="1" applyAlignment="1">
      <alignment horizontal="center" vertical="center" shrinkToFit="1"/>
    </xf>
    <xf numFmtId="0" fontId="17" fillId="45" borderId="0" xfId="0" quotePrefix="1" applyFont="1" applyFill="1" applyAlignment="1">
      <alignment horizontal="centerContinuous" vertical="center"/>
    </xf>
    <xf numFmtId="0" fontId="18" fillId="45" borderId="0" xfId="0" applyFont="1" applyFill="1" applyAlignment="1">
      <alignment horizontal="centerContinuous" vertical="center" shrinkToFit="1"/>
    </xf>
    <xf numFmtId="0" fontId="50" fillId="48" borderId="22" xfId="0" applyFont="1" applyFill="1" applyBorder="1" applyAlignment="1">
      <alignment horizontal="center" vertical="center"/>
    </xf>
    <xf numFmtId="0" fontId="50" fillId="48" borderId="26" xfId="0" applyFont="1" applyFill="1" applyBorder="1" applyAlignment="1">
      <alignment horizontal="center" vertical="center"/>
    </xf>
    <xf numFmtId="0" fontId="60" fillId="45" borderId="0" xfId="0" applyFont="1" applyFill="1" applyAlignment="1">
      <alignment horizontal="centerContinuous" vertical="center"/>
    </xf>
    <xf numFmtId="0" fontId="0" fillId="47" borderId="0" xfId="0" applyFill="1"/>
    <xf numFmtId="0" fontId="0" fillId="0" borderId="0" xfId="0" applyFont="1"/>
    <xf numFmtId="0" fontId="12" fillId="0" borderId="12" xfId="0" applyFont="1" applyFill="1" applyBorder="1" applyAlignment="1">
      <alignment horizontal="left"/>
    </xf>
    <xf numFmtId="0" fontId="61" fillId="0" borderId="0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center" wrapText="1"/>
    </xf>
    <xf numFmtId="0" fontId="0" fillId="46" borderId="0" xfId="0" applyFill="1"/>
    <xf numFmtId="0" fontId="0" fillId="0" borderId="0" xfId="0"/>
    <xf numFmtId="0" fontId="0" fillId="0" borderId="0" xfId="0" applyFill="1"/>
    <xf numFmtId="0" fontId="0" fillId="0" borderId="0" xfId="0" applyFont="1" applyFill="1"/>
    <xf numFmtId="0" fontId="0" fillId="44" borderId="3" xfId="0" applyFill="1" applyBorder="1" applyAlignment="1">
      <alignment vertical="center" shrinkToFit="1"/>
    </xf>
    <xf numFmtId="0" fontId="0" fillId="44" borderId="25" xfId="0" applyFill="1" applyBorder="1" applyAlignment="1">
      <alignment vertical="center"/>
    </xf>
    <xf numFmtId="0" fontId="0" fillId="51" borderId="0" xfId="0" applyFont="1" applyFill="1" applyBorder="1"/>
    <xf numFmtId="0" fontId="0" fillId="47" borderId="0" xfId="0" applyFill="1" applyBorder="1"/>
    <xf numFmtId="0" fontId="12" fillId="51" borderId="10" xfId="0" applyFont="1" applyFill="1" applyBorder="1" applyAlignment="1">
      <alignment horizontal="right" indent="2"/>
    </xf>
    <xf numFmtId="0" fontId="12" fillId="51" borderId="15" xfId="0" applyFont="1" applyFill="1" applyBorder="1" applyAlignment="1">
      <alignment horizontal="right" indent="2"/>
    </xf>
    <xf numFmtId="0" fontId="0" fillId="0" borderId="15" xfId="0" applyBorder="1"/>
    <xf numFmtId="0" fontId="0" fillId="0" borderId="15" xfId="0" applyFill="1" applyBorder="1"/>
    <xf numFmtId="0" fontId="12" fillId="51" borderId="0" xfId="0" applyFont="1" applyFill="1"/>
    <xf numFmtId="0" fontId="0" fillId="51" borderId="0" xfId="0" applyFont="1" applyFill="1"/>
    <xf numFmtId="0" fontId="0" fillId="51" borderId="0" xfId="21" applyFont="1" applyFill="1" applyBorder="1"/>
    <xf numFmtId="0" fontId="8" fillId="51" borderId="0" xfId="21" applyFill="1" applyBorder="1"/>
    <xf numFmtId="0" fontId="61" fillId="0" borderId="0" xfId="128" applyFont="1" applyFill="1" applyBorder="1" applyAlignment="1">
      <alignment horizontal="left" wrapText="1"/>
    </xf>
    <xf numFmtId="0" fontId="17" fillId="51" borderId="0" xfId="21" applyFont="1" applyFill="1"/>
    <xf numFmtId="0" fontId="17" fillId="51" borderId="0" xfId="0" applyFont="1" applyFill="1"/>
    <xf numFmtId="0" fontId="61" fillId="46" borderId="0" xfId="128" applyFont="1" applyFill="1" applyBorder="1" applyAlignment="1">
      <alignment wrapText="1"/>
    </xf>
    <xf numFmtId="0" fontId="61" fillId="0" borderId="0" xfId="128" applyFont="1" applyFill="1" applyBorder="1" applyAlignment="1">
      <alignment wrapText="1"/>
    </xf>
    <xf numFmtId="0" fontId="17" fillId="51" borderId="0" xfId="0" applyFont="1" applyFill="1" applyBorder="1" applyAlignment="1">
      <alignment horizontal="left" indent="1"/>
    </xf>
    <xf numFmtId="0" fontId="17" fillId="51" borderId="0" xfId="21" applyFont="1" applyFill="1" applyBorder="1" applyAlignment="1">
      <alignment horizontal="left"/>
    </xf>
    <xf numFmtId="0" fontId="17" fillId="51" borderId="0" xfId="0" applyFont="1" applyFill="1" applyBorder="1"/>
    <xf numFmtId="0" fontId="17" fillId="51" borderId="0" xfId="17" applyFont="1" applyFill="1" applyBorder="1"/>
    <xf numFmtId="0" fontId="9" fillId="47" borderId="0" xfId="0" applyFont="1" applyFill="1"/>
    <xf numFmtId="0" fontId="17" fillId="51" borderId="0" xfId="0" applyFont="1" applyFill="1" applyBorder="1" applyAlignment="1">
      <alignment horizontal="left"/>
    </xf>
    <xf numFmtId="3" fontId="12" fillId="0" borderId="0" xfId="0" applyNumberFormat="1" applyFont="1" applyFill="1" applyBorder="1" applyAlignment="1">
      <alignment horizontal="center"/>
    </xf>
    <xf numFmtId="0" fontId="11" fillId="0" borderId="0" xfId="2" applyFont="1" applyFill="1" applyAlignment="1">
      <alignment horizontal="center" vertic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/>
    </xf>
    <xf numFmtId="0" fontId="11" fillId="46" borderId="0" xfId="2" applyFont="1" applyFill="1" applyAlignment="1">
      <alignment horizontal="center" vertical="center"/>
    </xf>
    <xf numFmtId="0" fontId="0" fillId="47" borderId="0" xfId="0" applyFont="1" applyFill="1" applyAlignment="1">
      <alignment horizontal="center" vertical="center"/>
    </xf>
    <xf numFmtId="1" fontId="12" fillId="8" borderId="5" xfId="0" applyNumberFormat="1" applyFont="1" applyFill="1" applyBorder="1" applyAlignment="1">
      <alignment horizontal="center"/>
    </xf>
    <xf numFmtId="0" fontId="0" fillId="51" borderId="0" xfId="0" applyFill="1"/>
    <xf numFmtId="0" fontId="0" fillId="51" borderId="0" xfId="0" applyFill="1" applyBorder="1"/>
    <xf numFmtId="0" fontId="62" fillId="47" borderId="0" xfId="0" applyFont="1" applyFill="1"/>
    <xf numFmtId="0" fontId="62" fillId="47" borderId="0" xfId="0" applyFont="1" applyFill="1" applyAlignment="1">
      <alignment wrapText="1"/>
    </xf>
    <xf numFmtId="0" fontId="11" fillId="0" borderId="0" xfId="2" applyFont="1" applyFill="1" applyAlignment="1">
      <alignment vertical="center"/>
    </xf>
    <xf numFmtId="0" fontId="18" fillId="0" borderId="0" xfId="128" applyFont="1" applyFill="1" applyBorder="1" applyAlignment="1"/>
    <xf numFmtId="0" fontId="18" fillId="0" borderId="0" xfId="128" applyFont="1" applyFill="1" applyBorder="1" applyAlignment="1">
      <alignment horizontal="center"/>
    </xf>
    <xf numFmtId="0" fontId="61" fillId="0" borderId="0" xfId="128" applyFont="1" applyFill="1" applyBorder="1" applyAlignment="1">
      <alignment horizontal="left"/>
    </xf>
    <xf numFmtId="0" fontId="18" fillId="46" borderId="0" xfId="128" applyFont="1" applyFill="1" applyBorder="1" applyAlignment="1"/>
    <xf numFmtId="0" fontId="0" fillId="46" borderId="0" xfId="0" applyFill="1" applyAlignment="1">
      <alignment horizontal="right"/>
    </xf>
    <xf numFmtId="0" fontId="0" fillId="46" borderId="0" xfId="0" applyFont="1" applyFill="1" applyAlignment="1">
      <alignment horizontal="right"/>
    </xf>
    <xf numFmtId="0" fontId="0" fillId="46" borderId="0" xfId="0" applyFont="1" applyFill="1"/>
    <xf numFmtId="0" fontId="26" fillId="46" borderId="0" xfId="5" applyFont="1" applyFill="1" applyBorder="1" applyAlignment="1">
      <alignment horizontal="left"/>
    </xf>
    <xf numFmtId="0" fontId="30" fillId="46" borderId="0" xfId="0" applyFont="1" applyFill="1"/>
    <xf numFmtId="0" fontId="9" fillId="46" borderId="0" xfId="0" applyFont="1" applyFill="1"/>
    <xf numFmtId="0" fontId="0" fillId="46" borderId="0" xfId="0" applyFill="1" applyBorder="1"/>
    <xf numFmtId="0" fontId="8" fillId="46" borderId="0" xfId="0" applyFont="1" applyFill="1" applyAlignment="1">
      <alignment wrapText="1"/>
    </xf>
    <xf numFmtId="0" fontId="17" fillId="46" borderId="0" xfId="7" applyFont="1" applyFill="1" applyBorder="1"/>
    <xf numFmtId="0" fontId="22" fillId="46" borderId="0" xfId="0" applyFont="1" applyFill="1"/>
    <xf numFmtId="0" fontId="61" fillId="46" borderId="0" xfId="0" applyFont="1" applyFill="1" applyBorder="1" applyAlignment="1">
      <alignment wrapText="1"/>
    </xf>
    <xf numFmtId="0" fontId="61" fillId="0" borderId="0" xfId="0" applyFont="1" applyFill="1" applyBorder="1" applyAlignment="1">
      <alignment wrapText="1"/>
    </xf>
    <xf numFmtId="0" fontId="17" fillId="0" borderId="0" xfId="0" applyFont="1" applyFill="1" applyAlignment="1"/>
    <xf numFmtId="0" fontId="18" fillId="0" borderId="0" xfId="4" applyNumberFormat="1" applyFont="1" applyFill="1" applyBorder="1" applyAlignment="1">
      <alignment horizontal="center"/>
    </xf>
    <xf numFmtId="0" fontId="17" fillId="51" borderId="0" xfId="0" applyFont="1" applyFill="1" applyBorder="1" applyAlignment="1">
      <alignment horizontal="left" wrapText="1"/>
    </xf>
    <xf numFmtId="0" fontId="17" fillId="51" borderId="0" xfId="0" applyFont="1" applyFill="1" applyAlignment="1"/>
    <xf numFmtId="169" fontId="17" fillId="0" borderId="0" xfId="0" applyNumberFormat="1" applyFont="1" applyFill="1" applyBorder="1"/>
    <xf numFmtId="0" fontId="12" fillId="51" borderId="28" xfId="174" applyFont="1" applyFill="1" applyBorder="1" applyAlignment="1">
      <alignment horizontal="right" indent="2"/>
    </xf>
    <xf numFmtId="0" fontId="0" fillId="51" borderId="3" xfId="0" applyFill="1" applyBorder="1"/>
    <xf numFmtId="0" fontId="30" fillId="47" borderId="0" xfId="0" applyFont="1" applyFill="1"/>
    <xf numFmtId="1" fontId="17" fillId="45" borderId="25" xfId="4" applyNumberFormat="1" applyFont="1" applyFill="1" applyBorder="1" applyAlignment="1">
      <alignment horizontal="right" vertical="center"/>
    </xf>
    <xf numFmtId="0" fontId="23" fillId="47" borderId="0" xfId="0" applyFont="1" applyFill="1" applyBorder="1" applyAlignment="1">
      <alignment vertical="center"/>
    </xf>
    <xf numFmtId="0" fontId="26" fillId="47" borderId="0" xfId="5" applyFont="1" applyFill="1" applyBorder="1" applyAlignment="1">
      <alignment horizontal="left"/>
    </xf>
    <xf numFmtId="0" fontId="27" fillId="0" borderId="0" xfId="0" applyFont="1" applyBorder="1" applyAlignment="1">
      <alignment horizontal="center" wrapText="1"/>
    </xf>
    <xf numFmtId="0" fontId="10" fillId="0" borderId="0" xfId="2" applyFont="1" applyFill="1" applyAlignment="1">
      <alignment horizontal="center" vertical="center" wrapText="1"/>
    </xf>
    <xf numFmtId="0" fontId="28" fillId="47" borderId="0" xfId="0" applyFont="1" applyFill="1" applyBorder="1" applyAlignment="1">
      <alignment horizontal="left" wrapText="1"/>
    </xf>
    <xf numFmtId="43" fontId="17" fillId="6" borderId="1" xfId="1" applyNumberFormat="1" applyFont="1" applyFill="1" applyBorder="1" applyAlignment="1">
      <alignment horizontal="center"/>
    </xf>
    <xf numFmtId="164" fontId="17" fillId="6" borderId="1" xfId="1" applyNumberFormat="1" applyFont="1" applyFill="1" applyBorder="1" applyAlignment="1">
      <alignment horizontal="center"/>
    </xf>
    <xf numFmtId="0" fontId="61" fillId="46" borderId="0" xfId="174" applyFont="1" applyFill="1" applyBorder="1" applyAlignment="1"/>
    <xf numFmtId="0" fontId="0" fillId="0" borderId="0" xfId="4" applyNumberFormat="1" applyFont="1" applyFill="1" applyBorder="1"/>
    <xf numFmtId="0" fontId="8" fillId="46" borderId="0" xfId="174" applyFill="1" applyAlignment="1"/>
    <xf numFmtId="0" fontId="8" fillId="47" borderId="0" xfId="0" applyFont="1" applyFill="1" applyAlignment="1">
      <alignment wrapText="1"/>
    </xf>
    <xf numFmtId="1" fontId="18" fillId="0" borderId="0" xfId="0" applyNumberFormat="1" applyFont="1" applyFill="1" applyBorder="1" applyAlignment="1">
      <alignment horizontal="center"/>
    </xf>
    <xf numFmtId="0" fontId="10" fillId="47" borderId="0" xfId="3" applyFont="1" applyFill="1" applyAlignment="1">
      <alignment vertical="center"/>
    </xf>
    <xf numFmtId="0" fontId="16" fillId="47" borderId="0" xfId="5" applyFont="1" applyFill="1" applyBorder="1" applyAlignment="1">
      <alignment horizontal="center" vertical="center" wrapText="1"/>
    </xf>
    <xf numFmtId="0" fontId="17" fillId="47" borderId="0" xfId="7" applyFont="1" applyFill="1" applyBorder="1"/>
    <xf numFmtId="0" fontId="22" fillId="47" borderId="0" xfId="0" applyFont="1" applyFill="1"/>
    <xf numFmtId="0" fontId="0" fillId="47" borderId="0" xfId="9" applyFont="1" applyFill="1" applyBorder="1" applyAlignment="1">
      <alignment horizontal="left" vertical="center" wrapText="1"/>
    </xf>
    <xf numFmtId="0" fontId="22" fillId="0" borderId="0" xfId="0" applyFont="1" applyAlignment="1"/>
    <xf numFmtId="0" fontId="17" fillId="47" borderId="0" xfId="5" applyFont="1" applyFill="1" applyBorder="1" applyAlignment="1">
      <alignment horizontal="left"/>
    </xf>
    <xf numFmtId="0" fontId="61" fillId="46" borderId="0" xfId="174" applyFont="1" applyFill="1" applyBorder="1" applyAlignment="1">
      <alignment vertical="center" wrapText="1"/>
    </xf>
    <xf numFmtId="0" fontId="12" fillId="51" borderId="17" xfId="174" applyFont="1" applyFill="1" applyBorder="1" applyAlignment="1">
      <alignment horizontal="right" indent="2"/>
    </xf>
    <xf numFmtId="0" fontId="0" fillId="47" borderId="0" xfId="0" applyFill="1" applyAlignment="1"/>
    <xf numFmtId="0" fontId="12" fillId="51" borderId="16" xfId="174" applyFont="1" applyFill="1" applyBorder="1" applyAlignment="1">
      <alignment horizontal="right" indent="2"/>
    </xf>
    <xf numFmtId="0" fontId="0" fillId="47" borderId="0" xfId="0" applyFont="1" applyFill="1"/>
    <xf numFmtId="0" fontId="18" fillId="47" borderId="0" xfId="128" applyFont="1" applyFill="1" applyBorder="1" applyAlignment="1"/>
    <xf numFmtId="0" fontId="8" fillId="0" borderId="0" xfId="174"/>
    <xf numFmtId="0" fontId="61" fillId="0" borderId="0" xfId="174" applyFont="1" applyFill="1" applyBorder="1" applyAlignment="1">
      <alignment horizontal="left" wrapText="1"/>
    </xf>
    <xf numFmtId="0" fontId="18" fillId="0" borderId="0" xfId="174" applyFont="1" applyFill="1" applyBorder="1" applyAlignment="1">
      <alignment horizontal="center" wrapText="1"/>
    </xf>
    <xf numFmtId="0" fontId="29" fillId="47" borderId="0" xfId="0" applyFont="1" applyFill="1"/>
    <xf numFmtId="1" fontId="0" fillId="8" borderId="5" xfId="0" applyNumberFormat="1" applyFont="1" applyFill="1" applyBorder="1" applyAlignment="1">
      <alignment horizontal="center"/>
    </xf>
    <xf numFmtId="0" fontId="0" fillId="0" borderId="12" xfId="0" applyBorder="1"/>
    <xf numFmtId="0" fontId="38" fillId="0" borderId="0" xfId="2" applyFont="1" applyFill="1" applyAlignment="1">
      <alignment horizontal="center" vertical="center"/>
    </xf>
    <xf numFmtId="0" fontId="62" fillId="47" borderId="0" xfId="0" applyFont="1" applyFill="1" applyAlignment="1"/>
    <xf numFmtId="0" fontId="12" fillId="0" borderId="0" xfId="174" applyFont="1" applyFill="1" applyBorder="1" applyAlignment="1">
      <alignment horizontal="right" indent="2"/>
    </xf>
    <xf numFmtId="0" fontId="23" fillId="0" borderId="0" xfId="0" applyFont="1" applyFill="1"/>
    <xf numFmtId="0" fontId="28" fillId="47" borderId="0" xfId="0" applyFont="1" applyFill="1" applyBorder="1" applyAlignment="1">
      <alignment horizontal="center" wrapText="1"/>
    </xf>
    <xf numFmtId="9" fontId="18" fillId="0" borderId="0" xfId="4" applyNumberFormat="1" applyFont="1" applyFill="1" applyBorder="1" applyAlignment="1">
      <alignment horizontal="center"/>
    </xf>
    <xf numFmtId="0" fontId="8" fillId="0" borderId="0" xfId="174" applyFill="1"/>
    <xf numFmtId="0" fontId="8" fillId="46" borderId="0" xfId="174" applyFill="1"/>
    <xf numFmtId="0" fontId="8" fillId="0" borderId="0" xfId="174"/>
    <xf numFmtId="0" fontId="8" fillId="46" borderId="0" xfId="174" applyFill="1"/>
    <xf numFmtId="0" fontId="17" fillId="51" borderId="0" xfId="0" applyFont="1" applyFill="1" applyBorder="1" applyAlignment="1">
      <alignment wrapText="1"/>
    </xf>
    <xf numFmtId="164" fontId="18" fillId="0" borderId="0" xfId="1" applyNumberFormat="1" applyFont="1" applyFill="1" applyBorder="1"/>
    <xf numFmtId="0" fontId="8" fillId="0" borderId="0" xfId="174"/>
    <xf numFmtId="0" fontId="61" fillId="0" borderId="0" xfId="174" applyFont="1" applyFill="1" applyBorder="1" applyAlignment="1">
      <alignment horizontal="left" wrapText="1"/>
    </xf>
    <xf numFmtId="0" fontId="8" fillId="46" borderId="0" xfId="174" applyFill="1"/>
    <xf numFmtId="0" fontId="18" fillId="0" borderId="0" xfId="174" applyFont="1" applyFill="1" applyBorder="1" applyAlignment="1">
      <alignment horizontal="center" vertical="center"/>
    </xf>
    <xf numFmtId="164" fontId="18" fillId="0" borderId="9" xfId="1" applyNumberFormat="1" applyFont="1" applyFill="1" applyBorder="1"/>
    <xf numFmtId="0" fontId="18" fillId="0" borderId="0" xfId="174" applyFont="1" applyFill="1" applyBorder="1" applyAlignment="1">
      <alignment horizontal="center" wrapText="1"/>
    </xf>
    <xf numFmtId="174" fontId="12" fillId="0" borderId="0" xfId="174" applyNumberFormat="1" applyFont="1" applyFill="1" applyBorder="1" applyAlignment="1">
      <alignment horizontal="center" vertical="center"/>
    </xf>
    <xf numFmtId="0" fontId="8" fillId="0" borderId="0" xfId="174"/>
    <xf numFmtId="0" fontId="61" fillId="0" borderId="0" xfId="174" applyFont="1" applyFill="1" applyBorder="1" applyAlignment="1">
      <alignment horizontal="left" wrapText="1"/>
    </xf>
    <xf numFmtId="0" fontId="18" fillId="0" borderId="0" xfId="174" applyFont="1" applyFill="1" applyBorder="1" applyAlignment="1">
      <alignment horizontal="center" wrapText="1"/>
    </xf>
    <xf numFmtId="0" fontId="8" fillId="46" borderId="0" xfId="174" applyFill="1"/>
    <xf numFmtId="0" fontId="12" fillId="0" borderId="12" xfId="174" applyFont="1" applyFill="1" applyBorder="1" applyAlignment="1">
      <alignment horizontal="left"/>
    </xf>
    <xf numFmtId="0" fontId="8" fillId="46" borderId="0" xfId="174" applyFill="1"/>
    <xf numFmtId="0" fontId="17" fillId="51" borderId="0" xfId="0" applyFont="1" applyFill="1" applyAlignment="1">
      <alignment horizontal="left"/>
    </xf>
    <xf numFmtId="0" fontId="53" fillId="51" borderId="0" xfId="0" applyFont="1" applyFill="1"/>
    <xf numFmtId="0" fontId="61" fillId="46" borderId="0" xfId="174" applyFont="1" applyFill="1" applyBorder="1" applyAlignment="1">
      <alignment vertical="center"/>
    </xf>
    <xf numFmtId="0" fontId="8" fillId="46" borderId="0" xfId="174" applyFill="1"/>
    <xf numFmtId="174" fontId="18" fillId="0" borderId="0" xfId="174" applyNumberFormat="1" applyFont="1" applyFill="1" applyBorder="1" applyAlignment="1">
      <alignment horizontal="center" vertical="center" wrapText="1"/>
    </xf>
    <xf numFmtId="0" fontId="10" fillId="0" borderId="0" xfId="2" applyFill="1" applyAlignment="1">
      <alignment horizontal="center" vertical="center"/>
    </xf>
    <xf numFmtId="0" fontId="8" fillId="0" borderId="0" xfId="174"/>
    <xf numFmtId="0" fontId="61" fillId="0" borderId="0" xfId="174" applyFont="1" applyFill="1" applyBorder="1" applyAlignment="1">
      <alignment horizontal="left" wrapText="1"/>
    </xf>
    <xf numFmtId="0" fontId="18" fillId="0" borderId="0" xfId="174" applyFont="1" applyFill="1" applyBorder="1" applyAlignment="1">
      <alignment horizontal="center" vertical="center"/>
    </xf>
    <xf numFmtId="0" fontId="18" fillId="0" borderId="0" xfId="174" applyFont="1" applyFill="1" applyBorder="1" applyAlignment="1">
      <alignment horizontal="center" wrapText="1"/>
    </xf>
    <xf numFmtId="174" fontId="18" fillId="0" borderId="0" xfId="174" applyNumberFormat="1" applyFont="1" applyFill="1" applyBorder="1" applyAlignment="1">
      <alignment horizontal="center" vertical="center" wrapText="1"/>
    </xf>
    <xf numFmtId="0" fontId="8" fillId="0" borderId="0" xfId="174"/>
    <xf numFmtId="0" fontId="61" fillId="0" borderId="0" xfId="174" applyFont="1" applyFill="1" applyBorder="1" applyAlignment="1">
      <alignment horizontal="left" wrapText="1"/>
    </xf>
    <xf numFmtId="0" fontId="18" fillId="0" borderId="0" xfId="174" applyFont="1" applyFill="1" applyBorder="1" applyAlignment="1">
      <alignment horizontal="center" wrapText="1"/>
    </xf>
    <xf numFmtId="0" fontId="12" fillId="0" borderId="12" xfId="174" applyFont="1" applyFill="1" applyBorder="1" applyAlignment="1">
      <alignment horizontal="left"/>
    </xf>
    <xf numFmtId="0" fontId="8" fillId="0" borderId="0" xfId="174" applyFill="1"/>
    <xf numFmtId="0" fontId="8" fillId="46" borderId="0" xfId="174" applyFill="1"/>
    <xf numFmtId="43" fontId="18" fillId="0" borderId="0" xfId="1" applyNumberFormat="1" applyFont="1" applyFill="1" applyBorder="1"/>
    <xf numFmtId="0" fontId="61" fillId="46" borderId="0" xfId="174" applyFont="1" applyFill="1" applyBorder="1" applyAlignment="1">
      <alignment wrapText="1"/>
    </xf>
    <xf numFmtId="0" fontId="17" fillId="0" borderId="9" xfId="7" applyFont="1" applyFill="1" applyBorder="1"/>
    <xf numFmtId="0" fontId="17" fillId="51" borderId="0" xfId="7" applyFont="1" applyFill="1" applyBorder="1"/>
    <xf numFmtId="0" fontId="17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0" fontId="0" fillId="51" borderId="0" xfId="0" applyFill="1" applyAlignment="1">
      <alignment horizontal="left" indent="1"/>
    </xf>
    <xf numFmtId="0" fontId="18" fillId="0" borderId="0" xfId="174" applyFont="1" applyFill="1" applyBorder="1" applyAlignment="1">
      <alignment horizontal="center" vertical="center"/>
    </xf>
    <xf numFmtId="0" fontId="18" fillId="0" borderId="0" xfId="174" applyFont="1" applyFill="1" applyBorder="1" applyAlignment="1">
      <alignment horizontal="center" vertical="center"/>
    </xf>
    <xf numFmtId="0" fontId="0" fillId="51" borderId="0" xfId="0" applyFont="1" applyFill="1" applyAlignment="1">
      <alignment horizontal="left"/>
    </xf>
    <xf numFmtId="0" fontId="12" fillId="0" borderId="12" xfId="174" applyFont="1" applyFill="1" applyBorder="1" applyAlignment="1">
      <alignment horizontal="left"/>
    </xf>
    <xf numFmtId="1" fontId="12" fillId="4" borderId="1" xfId="0" applyNumberFormat="1" applyFont="1" applyFill="1" applyBorder="1" applyAlignment="1">
      <alignment horizontal="center"/>
    </xf>
    <xf numFmtId="0" fontId="8" fillId="0" borderId="0" xfId="174" applyFill="1"/>
    <xf numFmtId="0" fontId="8" fillId="46" borderId="0" xfId="174" applyFill="1"/>
    <xf numFmtId="0" fontId="0" fillId="51" borderId="0" xfId="0" applyFill="1" applyAlignment="1">
      <alignment horizontal="left"/>
    </xf>
    <xf numFmtId="0" fontId="0" fillId="44" borderId="3" xfId="0" applyFill="1" applyBorder="1" applyAlignment="1">
      <alignment vertical="center" wrapText="1" shrinkToFit="1"/>
    </xf>
    <xf numFmtId="0" fontId="0" fillId="51" borderId="0" xfId="0" applyFill="1" applyAlignment="1">
      <alignment horizontal="left" wrapText="1" indent="1"/>
    </xf>
    <xf numFmtId="167" fontId="18" fillId="0" borderId="0" xfId="0" applyNumberFormat="1" applyFont="1" applyFill="1" applyBorder="1" applyAlignment="1">
      <alignment horizontal="center"/>
    </xf>
    <xf numFmtId="9" fontId="17" fillId="45" borderId="25" xfId="4" applyNumberFormat="1" applyFont="1" applyFill="1" applyBorder="1" applyAlignment="1">
      <alignment horizontal="right" vertical="center"/>
    </xf>
    <xf numFmtId="37" fontId="18" fillId="52" borderId="39" xfId="0" applyNumberFormat="1" applyFont="1" applyFill="1" applyBorder="1"/>
    <xf numFmtId="166" fontId="17" fillId="0" borderId="0" xfId="4" applyNumberFormat="1" applyFont="1" applyFill="1" applyBorder="1" applyAlignment="1">
      <alignment horizontal="right"/>
    </xf>
    <xf numFmtId="37" fontId="18" fillId="52" borderId="17" xfId="0" applyNumberFormat="1" applyFont="1" applyFill="1" applyBorder="1"/>
    <xf numFmtId="0" fontId="12" fillId="0" borderId="0" xfId="0" applyFont="1" applyFill="1" applyAlignment="1">
      <alignment horizontal="center"/>
    </xf>
    <xf numFmtId="168" fontId="17" fillId="0" borderId="0" xfId="1" applyNumberFormat="1" applyFont="1" applyFill="1" applyBorder="1" applyAlignment="1">
      <alignment horizontal="right"/>
    </xf>
    <xf numFmtId="165" fontId="17" fillId="45" borderId="25" xfId="4" applyNumberFormat="1" applyFont="1" applyFill="1" applyBorder="1" applyAlignment="1">
      <alignment horizontal="right" vertical="center"/>
    </xf>
    <xf numFmtId="3" fontId="17" fillId="0" borderId="0" xfId="1" applyNumberFormat="1" applyFont="1" applyFill="1" applyBorder="1"/>
    <xf numFmtId="171" fontId="0" fillId="0" borderId="0" xfId="0" applyNumberFormat="1" applyFont="1" applyFill="1" applyBorder="1"/>
    <xf numFmtId="164" fontId="17" fillId="0" borderId="0" xfId="1" applyNumberFormat="1" applyFont="1" applyFill="1" applyBorder="1" applyAlignment="1">
      <alignment horizontal="right"/>
    </xf>
    <xf numFmtId="165" fontId="18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horizontal="left" indent="1"/>
    </xf>
    <xf numFmtId="3" fontId="18" fillId="0" borderId="0" xfId="1" applyNumberFormat="1" applyFont="1" applyFill="1" applyBorder="1"/>
    <xf numFmtId="43" fontId="0" fillId="47" borderId="0" xfId="0" quotePrefix="1" applyNumberFormat="1" applyFill="1"/>
    <xf numFmtId="43" fontId="17" fillId="0" borderId="0" xfId="1" applyNumberFormat="1" applyFont="1" applyFill="1" applyBorder="1" applyAlignment="1">
      <alignment horizontal="right"/>
    </xf>
    <xf numFmtId="39" fontId="0" fillId="0" borderId="0" xfId="0" applyNumberFormat="1" applyFill="1" applyBorder="1"/>
    <xf numFmtId="39" fontId="0" fillId="0" borderId="0" xfId="0" applyNumberFormat="1" applyFont="1" applyFill="1" applyBorder="1"/>
    <xf numFmtId="4" fontId="17" fillId="0" borderId="0" xfId="1" applyNumberFormat="1" applyFont="1" applyFill="1" applyBorder="1"/>
    <xf numFmtId="3" fontId="17" fillId="0" borderId="9" xfId="1" applyNumberFormat="1" applyFont="1" applyFill="1" applyBorder="1"/>
    <xf numFmtId="3" fontId="18" fillId="0" borderId="0" xfId="0" applyNumberFormat="1" applyFont="1" applyFill="1" applyBorder="1" applyAlignment="1">
      <alignment horizontal="center"/>
    </xf>
    <xf numFmtId="4" fontId="17" fillId="0" borderId="26" xfId="1" applyNumberFormat="1" applyFont="1" applyFill="1" applyBorder="1"/>
    <xf numFmtId="170" fontId="18" fillId="0" borderId="0" xfId="0" applyNumberFormat="1" applyFont="1" applyFill="1" applyBorder="1" applyAlignment="1">
      <alignment horizontal="center"/>
    </xf>
    <xf numFmtId="0" fontId="8" fillId="0" borderId="0" xfId="174" applyFill="1"/>
    <xf numFmtId="0" fontId="8" fillId="46" borderId="0" xfId="174" applyFill="1"/>
    <xf numFmtId="0" fontId="17" fillId="0" borderId="9" xfId="0" applyFont="1" applyFill="1" applyBorder="1"/>
    <xf numFmtId="4" fontId="17" fillId="0" borderId="6" xfId="1" applyNumberFormat="1" applyFont="1" applyFill="1" applyBorder="1"/>
    <xf numFmtId="0" fontId="8" fillId="47" borderId="0" xfId="0" applyFont="1" applyFill="1"/>
    <xf numFmtId="0" fontId="8" fillId="0" borderId="0" xfId="174"/>
    <xf numFmtId="0" fontId="61" fillId="0" borderId="0" xfId="174" applyFont="1" applyFill="1" applyBorder="1" applyAlignment="1">
      <alignment horizontal="left" wrapText="1"/>
    </xf>
    <xf numFmtId="0" fontId="18" fillId="0" borderId="0" xfId="174" applyFont="1" applyFill="1" applyBorder="1" applyAlignment="1">
      <alignment horizontal="center" vertical="center"/>
    </xf>
    <xf numFmtId="0" fontId="18" fillId="0" borderId="0" xfId="174" applyFont="1" applyFill="1" applyBorder="1" applyAlignment="1">
      <alignment horizontal="center" vertical="center"/>
    </xf>
    <xf numFmtId="0" fontId="8" fillId="0" borderId="0" xfId="174"/>
    <xf numFmtId="0" fontId="61" fillId="0" borderId="0" xfId="174" applyFont="1" applyFill="1" applyBorder="1" applyAlignment="1">
      <alignment horizontal="left" wrapText="1"/>
    </xf>
    <xf numFmtId="0" fontId="18" fillId="0" borderId="0" xfId="174" applyFont="1" applyFill="1" applyBorder="1" applyAlignment="1">
      <alignment horizontal="center" wrapText="1"/>
    </xf>
    <xf numFmtId="0" fontId="8" fillId="0" borderId="0" xfId="174"/>
    <xf numFmtId="0" fontId="12" fillId="0" borderId="12" xfId="174" applyFont="1" applyFill="1" applyBorder="1" applyAlignment="1">
      <alignment horizontal="left"/>
    </xf>
    <xf numFmtId="0" fontId="8" fillId="46" borderId="0" xfId="174" applyFill="1"/>
    <xf numFmtId="0" fontId="12" fillId="51" borderId="10" xfId="174" applyFont="1" applyFill="1" applyBorder="1" applyAlignment="1">
      <alignment horizontal="right" indent="2"/>
    </xf>
    <xf numFmtId="0" fontId="12" fillId="51" borderId="15" xfId="174" applyFont="1" applyFill="1" applyBorder="1" applyAlignment="1">
      <alignment horizontal="right" indent="2"/>
    </xf>
    <xf numFmtId="0" fontId="12" fillId="51" borderId="10" xfId="174" applyFont="1" applyFill="1" applyBorder="1" applyAlignment="1">
      <alignment horizontal="right" indent="2"/>
    </xf>
    <xf numFmtId="0" fontId="12" fillId="51" borderId="15" xfId="174" applyFont="1" applyFill="1" applyBorder="1" applyAlignment="1">
      <alignment horizontal="right" indent="2"/>
    </xf>
    <xf numFmtId="0" fontId="12" fillId="51" borderId="13" xfId="174" applyFont="1" applyFill="1" applyBorder="1" applyAlignment="1">
      <alignment horizontal="right" indent="2"/>
    </xf>
    <xf numFmtId="0" fontId="8" fillId="0" borderId="0" xfId="174" applyFill="1"/>
    <xf numFmtId="0" fontId="8" fillId="46" borderId="0" xfId="174" applyFill="1"/>
    <xf numFmtId="0" fontId="12" fillId="0" borderId="12" xfId="174" applyFont="1" applyFill="1" applyBorder="1" applyAlignment="1">
      <alignment horizontal="left"/>
    </xf>
    <xf numFmtId="0" fontId="0" fillId="44" borderId="3" xfId="0" applyFill="1" applyBorder="1" applyAlignment="1">
      <alignment horizontal="left" vertical="center" wrapText="1" shrinkToFit="1"/>
    </xf>
    <xf numFmtId="0" fontId="17" fillId="47" borderId="0" xfId="0" applyFont="1" applyFill="1"/>
    <xf numFmtId="0" fontId="13" fillId="0" borderId="0" xfId="0" applyFont="1" applyFill="1" applyBorder="1" applyAlignment="1">
      <alignment horizontal="center"/>
    </xf>
    <xf numFmtId="0" fontId="14" fillId="51" borderId="0" xfId="0" applyFont="1" applyFill="1" applyBorder="1" applyAlignment="1">
      <alignment horizontal="left" wrapText="1"/>
    </xf>
    <xf numFmtId="0" fontId="17" fillId="47" borderId="0" xfId="0" applyFont="1" applyFill="1" applyBorder="1" applyAlignment="1"/>
    <xf numFmtId="3" fontId="12" fillId="0" borderId="6" xfId="0" applyNumberFormat="1" applyFont="1" applyFill="1" applyBorder="1" applyAlignment="1">
      <alignment horizontal="center"/>
    </xf>
    <xf numFmtId="0" fontId="17" fillId="45" borderId="0" xfId="0" applyFont="1" applyFill="1" applyAlignment="1">
      <alignment horizontal="right" vertical="center"/>
    </xf>
    <xf numFmtId="0" fontId="50" fillId="48" borderId="26" xfId="0" applyFont="1" applyFill="1" applyBorder="1" applyAlignment="1" applyProtection="1">
      <alignment horizontal="right" vertical="center" wrapText="1"/>
    </xf>
    <xf numFmtId="2" fontId="17" fillId="45" borderId="25" xfId="4" applyNumberFormat="1" applyFont="1" applyFill="1" applyBorder="1" applyAlignment="1">
      <alignment horizontal="right" vertical="center"/>
    </xf>
    <xf numFmtId="1" fontId="17" fillId="45" borderId="25" xfId="4" applyNumberFormat="1" applyFont="1" applyFill="1" applyBorder="1" applyAlignment="1">
      <alignment horizontal="right" vertical="center" wrapText="1"/>
    </xf>
    <xf numFmtId="1" fontId="12" fillId="8" borderId="1" xfId="0" applyNumberFormat="1" applyFont="1" applyFill="1" applyBorder="1" applyAlignment="1">
      <alignment horizontal="center"/>
    </xf>
    <xf numFmtId="165" fontId="17" fillId="5" borderId="1" xfId="4" applyNumberFormat="1" applyFont="1" applyFill="1" applyBorder="1" applyAlignment="1">
      <alignment horizontal="center"/>
    </xf>
    <xf numFmtId="37" fontId="17" fillId="6" borderId="19" xfId="20" applyNumberFormat="1" applyFont="1" applyFill="1" applyBorder="1"/>
    <xf numFmtId="169" fontId="17" fillId="6" borderId="19" xfId="20" applyNumberFormat="1" applyFont="1" applyFill="1" applyBorder="1"/>
    <xf numFmtId="1" fontId="17" fillId="6" borderId="19" xfId="20" applyNumberFormat="1" applyFont="1" applyFill="1" applyBorder="1"/>
    <xf numFmtId="2" fontId="17" fillId="6" borderId="19" xfId="20" applyNumberFormat="1" applyFont="1" applyFill="1" applyBorder="1"/>
    <xf numFmtId="0" fontId="12" fillId="0" borderId="0" xfId="21" applyFont="1" applyFill="1" applyAlignment="1">
      <alignment horizontal="center"/>
    </xf>
    <xf numFmtId="0" fontId="0" fillId="0" borderId="0" xfId="21" applyFont="1" applyFill="1" applyBorder="1"/>
    <xf numFmtId="165" fontId="17" fillId="0" borderId="0" xfId="4" applyNumberFormat="1" applyFont="1" applyFill="1" applyBorder="1" applyAlignment="1">
      <alignment horizontal="center"/>
    </xf>
    <xf numFmtId="0" fontId="8" fillId="0" borderId="15" xfId="21" applyBorder="1"/>
    <xf numFmtId="0" fontId="12" fillId="51" borderId="28" xfId="0" applyFont="1" applyFill="1" applyBorder="1" applyAlignment="1">
      <alignment horizontal="right" indent="2"/>
    </xf>
    <xf numFmtId="0" fontId="12" fillId="51" borderId="16" xfId="0" applyFont="1" applyFill="1" applyBorder="1" applyAlignment="1">
      <alignment horizontal="right" indent="2"/>
    </xf>
    <xf numFmtId="37" fontId="17" fillId="0" borderId="0" xfId="20" applyNumberFormat="1" applyFont="1" applyFill="1" applyBorder="1"/>
    <xf numFmtId="37" fontId="17" fillId="0" borderId="0" xfId="20" applyNumberFormat="1" applyFont="1" applyFill="1" applyBorder="1" applyAlignment="1">
      <alignment horizontal="center"/>
    </xf>
    <xf numFmtId="3" fontId="8" fillId="46" borderId="0" xfId="21" applyNumberFormat="1" applyFont="1" applyFill="1" applyBorder="1" applyAlignment="1"/>
    <xf numFmtId="3" fontId="8" fillId="0" borderId="0" xfId="21" applyNumberFormat="1" applyFont="1" applyFill="1" applyBorder="1" applyAlignment="1"/>
    <xf numFmtId="1" fontId="8" fillId="51" borderId="0" xfId="21" applyNumberFormat="1" applyFont="1" applyFill="1" applyBorder="1" applyAlignment="1">
      <alignment horizontal="center"/>
    </xf>
    <xf numFmtId="3" fontId="12" fillId="51" borderId="0" xfId="21" applyNumberFormat="1" applyFont="1" applyFill="1" applyBorder="1" applyAlignment="1">
      <alignment horizontal="center"/>
    </xf>
    <xf numFmtId="9" fontId="12" fillId="51" borderId="0" xfId="21" applyNumberFormat="1" applyFont="1" applyFill="1" applyBorder="1" applyAlignment="1">
      <alignment horizontal="center"/>
    </xf>
    <xf numFmtId="9" fontId="8" fillId="51" borderId="0" xfId="21" applyNumberFormat="1" applyFont="1" applyFill="1" applyBorder="1" applyAlignment="1">
      <alignment horizontal="center"/>
    </xf>
    <xf numFmtId="3" fontId="8" fillId="51" borderId="0" xfId="21" applyNumberFormat="1" applyFont="1" applyFill="1" applyBorder="1" applyAlignment="1">
      <alignment horizontal="center"/>
    </xf>
    <xf numFmtId="0" fontId="8" fillId="51" borderId="0" xfId="21" applyFont="1" applyFill="1"/>
    <xf numFmtId="0" fontId="23" fillId="51" borderId="0" xfId="21" applyFont="1" applyFill="1"/>
    <xf numFmtId="0" fontId="23" fillId="51" borderId="0" xfId="0" applyFont="1" applyFill="1"/>
    <xf numFmtId="0" fontId="17" fillId="51" borderId="0" xfId="21" applyFont="1" applyFill="1" applyBorder="1"/>
    <xf numFmtId="0" fontId="17" fillId="51" borderId="0" xfId="21" applyFont="1" applyFill="1" applyAlignment="1">
      <alignment horizontal="center" vertical="center"/>
    </xf>
    <xf numFmtId="0" fontId="31" fillId="51" borderId="0" xfId="21" applyFont="1" applyFill="1" applyBorder="1" applyAlignment="1">
      <alignment horizontal="left" wrapText="1"/>
    </xf>
    <xf numFmtId="3" fontId="8" fillId="0" borderId="14" xfId="21" applyNumberFormat="1" applyBorder="1"/>
    <xf numFmtId="0" fontId="8" fillId="51" borderId="0" xfId="21" applyFill="1"/>
    <xf numFmtId="0" fontId="20" fillId="51" borderId="0" xfId="21" applyFont="1" applyFill="1"/>
    <xf numFmtId="0" fontId="0" fillId="51" borderId="0" xfId="21" applyFont="1" applyFill="1" applyBorder="1" applyAlignment="1"/>
    <xf numFmtId="0" fontId="0" fillId="51" borderId="0" xfId="21" applyFont="1" applyFill="1" applyBorder="1" applyAlignment="1">
      <alignment wrapText="1"/>
    </xf>
    <xf numFmtId="43" fontId="8" fillId="51" borderId="0" xfId="21" applyNumberFormat="1" applyFont="1" applyFill="1" applyBorder="1" applyAlignment="1">
      <alignment wrapText="1"/>
    </xf>
    <xf numFmtId="0" fontId="22" fillId="51" borderId="0" xfId="21" applyFont="1" applyFill="1"/>
    <xf numFmtId="0" fontId="22" fillId="51" borderId="0" xfId="21" applyFont="1" applyFill="1" applyBorder="1"/>
    <xf numFmtId="164" fontId="17" fillId="51" borderId="0" xfId="20" applyNumberFormat="1" applyFont="1" applyFill="1" applyBorder="1"/>
    <xf numFmtId="0" fontId="12" fillId="0" borderId="0" xfId="0" applyFont="1" applyFill="1" applyBorder="1" applyAlignment="1"/>
    <xf numFmtId="0" fontId="18" fillId="51" borderId="0" xfId="21" applyFont="1" applyFill="1" applyAlignment="1">
      <alignment horizontal="center" vertical="center"/>
    </xf>
    <xf numFmtId="0" fontId="18" fillId="51" borderId="0" xfId="21" applyFont="1" applyFill="1" applyAlignment="1">
      <alignment horizontal="center" vertical="center" wrapText="1"/>
    </xf>
    <xf numFmtId="0" fontId="8" fillId="51" borderId="0" xfId="21" applyFill="1" applyAlignment="1">
      <alignment wrapText="1"/>
    </xf>
    <xf numFmtId="0" fontId="22" fillId="51" borderId="0" xfId="21" applyFont="1" applyFill="1" applyAlignment="1">
      <alignment wrapText="1"/>
    </xf>
    <xf numFmtId="0" fontId="18" fillId="51" borderId="7" xfId="21" applyFont="1" applyFill="1" applyBorder="1" applyAlignment="1">
      <alignment horizontal="center" vertical="center" wrapText="1"/>
    </xf>
    <xf numFmtId="0" fontId="12" fillId="51" borderId="0" xfId="21" applyFont="1" applyFill="1"/>
    <xf numFmtId="0" fontId="8" fillId="47" borderId="0" xfId="21" applyFill="1"/>
    <xf numFmtId="0" fontId="22" fillId="47" borderId="0" xfId="21" applyFont="1" applyFill="1"/>
    <xf numFmtId="0" fontId="8" fillId="47" borderId="0" xfId="21" applyFill="1" applyBorder="1"/>
    <xf numFmtId="0" fontId="8" fillId="47" borderId="0" xfId="21" applyFont="1" applyFill="1"/>
    <xf numFmtId="0" fontId="0" fillId="47" borderId="0" xfId="21" applyFont="1" applyFill="1"/>
    <xf numFmtId="0" fontId="18" fillId="47" borderId="0" xfId="21" applyFont="1" applyFill="1" applyAlignment="1">
      <alignment horizontal="center"/>
    </xf>
    <xf numFmtId="0" fontId="18" fillId="47" borderId="0" xfId="21" applyFont="1" applyFill="1" applyAlignment="1">
      <alignment horizontal="center" vertical="center" wrapText="1"/>
    </xf>
    <xf numFmtId="1" fontId="18" fillId="47" borderId="0" xfId="23" applyNumberFormat="1" applyFont="1" applyFill="1" applyBorder="1" applyAlignment="1">
      <alignment horizontal="center"/>
    </xf>
    <xf numFmtId="0" fontId="18" fillId="47" borderId="0" xfId="21" applyFont="1" applyFill="1" applyBorder="1"/>
    <xf numFmtId="9" fontId="18" fillId="47" borderId="0" xfId="23" applyNumberFormat="1" applyFont="1" applyFill="1" applyBorder="1" applyAlignment="1">
      <alignment horizontal="center"/>
    </xf>
    <xf numFmtId="0" fontId="17" fillId="47" borderId="0" xfId="21" applyFont="1" applyFill="1" applyBorder="1"/>
    <xf numFmtId="0" fontId="8" fillId="47" borderId="0" xfId="21" applyFont="1" applyFill="1" applyAlignment="1">
      <alignment wrapText="1"/>
    </xf>
    <xf numFmtId="0" fontId="0" fillId="44" borderId="25" xfId="0" applyFill="1" applyBorder="1" applyAlignment="1">
      <alignment vertical="center" wrapText="1"/>
    </xf>
    <xf numFmtId="0" fontId="0" fillId="51" borderId="0" xfId="0" applyFill="1" applyBorder="1" applyAlignment="1">
      <alignment vertical="center"/>
    </xf>
    <xf numFmtId="0" fontId="0" fillId="52" borderId="11" xfId="0" applyFill="1" applyBorder="1"/>
    <xf numFmtId="0" fontId="17" fillId="47" borderId="0" xfId="0" applyFont="1" applyFill="1" applyAlignment="1">
      <alignment wrapText="1"/>
    </xf>
    <xf numFmtId="164" fontId="13" fillId="10" borderId="28" xfId="0" applyNumberFormat="1" applyFont="1" applyFill="1" applyBorder="1"/>
    <xf numFmtId="164" fontId="13" fillId="10" borderId="16" xfId="0" applyNumberFormat="1" applyFont="1" applyFill="1" applyBorder="1"/>
    <xf numFmtId="0" fontId="0" fillId="5" borderId="1" xfId="0" applyFont="1" applyFill="1" applyBorder="1" applyAlignment="1">
      <alignment horizontal="center"/>
    </xf>
    <xf numFmtId="1" fontId="17" fillId="5" borderId="1" xfId="1" applyNumberFormat="1" applyFont="1" applyFill="1" applyBorder="1" applyAlignment="1">
      <alignment horizontal="center"/>
    </xf>
    <xf numFmtId="1" fontId="17" fillId="6" borderId="1" xfId="1" applyNumberFormat="1" applyFont="1" applyFill="1" applyBorder="1" applyAlignment="1">
      <alignment horizontal="center"/>
    </xf>
    <xf numFmtId="3" fontId="17" fillId="6" borderId="1" xfId="1" applyNumberFormat="1" applyFont="1" applyFill="1" applyBorder="1" applyAlignment="1">
      <alignment horizontal="center"/>
    </xf>
    <xf numFmtId="37" fontId="12" fillId="52" borderId="15" xfId="174" applyNumberFormat="1" applyFont="1" applyFill="1" applyBorder="1" applyAlignment="1">
      <alignment horizontal="right"/>
    </xf>
    <xf numFmtId="169" fontId="17" fillId="6" borderId="1" xfId="1" applyNumberFormat="1" applyFont="1" applyFill="1" applyBorder="1" applyAlignment="1">
      <alignment horizontal="center"/>
    </xf>
    <xf numFmtId="164" fontId="14" fillId="6" borderId="5" xfId="0" applyNumberFormat="1" applyFont="1" applyFill="1" applyBorder="1" applyAlignment="1">
      <alignment horizontal="right"/>
    </xf>
    <xf numFmtId="0" fontId="19" fillId="44" borderId="3" xfId="27" applyFill="1" applyBorder="1" applyAlignment="1">
      <alignment vertical="center" shrinkToFit="1"/>
    </xf>
    <xf numFmtId="0" fontId="0" fillId="51" borderId="0" xfId="0" applyFont="1" applyFill="1" applyAlignment="1">
      <alignment horizontal="left"/>
    </xf>
    <xf numFmtId="0" fontId="12" fillId="0" borderId="0" xfId="0" applyFont="1" applyFill="1" applyBorder="1" applyAlignment="1">
      <alignment horizontal="center"/>
    </xf>
    <xf numFmtId="9" fontId="17" fillId="5" borderId="1" xfId="4" applyNumberFormat="1" applyFont="1" applyFill="1" applyBorder="1" applyAlignment="1">
      <alignment horizontal="right"/>
    </xf>
    <xf numFmtId="0" fontId="0" fillId="44" borderId="4" xfId="0" applyFill="1" applyBorder="1" applyAlignment="1">
      <alignment vertical="center"/>
    </xf>
    <xf numFmtId="0" fontId="18" fillId="0" borderId="0" xfId="0" applyFont="1" applyFill="1" applyAlignment="1">
      <alignment horizontal="center"/>
    </xf>
    <xf numFmtId="9" fontId="17" fillId="0" borderId="0" xfId="4" applyNumberFormat="1" applyFont="1" applyFill="1" applyBorder="1" applyAlignment="1">
      <alignment horizontal="right"/>
    </xf>
    <xf numFmtId="2" fontId="14" fillId="0" borderId="0" xfId="4" applyNumberFormat="1" applyFont="1" applyFill="1" applyBorder="1" applyAlignment="1">
      <alignment horizontal="right"/>
    </xf>
    <xf numFmtId="3" fontId="18" fillId="6" borderId="10" xfId="1" applyNumberFormat="1" applyFont="1" applyFill="1" applyBorder="1"/>
    <xf numFmtId="43" fontId="62" fillId="47" borderId="0" xfId="0" quotePrefix="1" applyNumberFormat="1" applyFont="1" applyFill="1"/>
    <xf numFmtId="0" fontId="12" fillId="0" borderId="0" xfId="0" applyFont="1" applyFill="1" applyBorder="1" applyAlignment="1">
      <alignment horizontal="center"/>
    </xf>
    <xf numFmtId="0" fontId="0" fillId="51" borderId="0" xfId="0" applyFill="1" applyAlignment="1">
      <alignment vertical="center"/>
    </xf>
    <xf numFmtId="37" fontId="17" fillId="5" borderId="1" xfId="1" applyNumberFormat="1" applyFont="1" applyFill="1" applyBorder="1" applyAlignment="1">
      <alignment horizontal="right"/>
    </xf>
    <xf numFmtId="9" fontId="18" fillId="8" borderId="1" xfId="0" applyNumberFormat="1" applyFont="1" applyFill="1" applyBorder="1" applyAlignment="1">
      <alignment horizontal="center"/>
    </xf>
    <xf numFmtId="0" fontId="0" fillId="0" borderId="0" xfId="0"/>
    <xf numFmtId="171" fontId="17" fillId="52" borderId="1" xfId="1" applyNumberFormat="1" applyFont="1" applyFill="1" applyBorder="1" applyAlignment="1">
      <alignment horizontal="right"/>
    </xf>
    <xf numFmtId="9" fontId="0" fillId="51" borderId="0" xfId="4" applyFont="1" applyFill="1"/>
    <xf numFmtId="165" fontId="17" fillId="13" borderId="1" xfId="4" applyNumberFormat="1" applyFont="1" applyFill="1" applyBorder="1" applyAlignment="1">
      <alignment horizontal="right"/>
    </xf>
    <xf numFmtId="4" fontId="17" fillId="13" borderId="1" xfId="1" applyNumberFormat="1" applyFont="1" applyFill="1" applyBorder="1"/>
    <xf numFmtId="2" fontId="17" fillId="13" borderId="19" xfId="4" applyNumberFormat="1" applyFont="1" applyFill="1" applyBorder="1" applyAlignment="1">
      <alignment horizontal="right"/>
    </xf>
    <xf numFmtId="171" fontId="17" fillId="0" borderId="0" xfId="1" applyNumberFormat="1" applyFont="1" applyFill="1" applyBorder="1" applyAlignment="1">
      <alignment horizontal="right"/>
    </xf>
    <xf numFmtId="3" fontId="18" fillId="6" borderId="8" xfId="1" applyNumberFormat="1" applyFont="1" applyFill="1" applyBorder="1"/>
    <xf numFmtId="3" fontId="18" fillId="6" borderId="11" xfId="1" applyNumberFormat="1" applyFont="1" applyFill="1" applyBorder="1"/>
    <xf numFmtId="3" fontId="18" fillId="6" borderId="13" xfId="1" applyNumberFormat="1" applyFont="1" applyFill="1" applyBorder="1"/>
    <xf numFmtId="165" fontId="17" fillId="5" borderId="1" xfId="4" applyNumberFormat="1" applyFont="1" applyFill="1" applyBorder="1" applyAlignment="1">
      <alignment horizontal="center"/>
    </xf>
    <xf numFmtId="1" fontId="18" fillId="4" borderId="1" xfId="0" applyNumberFormat="1" applyFont="1" applyFill="1" applyBorder="1" applyAlignment="1">
      <alignment horizontal="center" vertical="center"/>
    </xf>
    <xf numFmtId="0" fontId="0" fillId="0" borderId="0" xfId="4" applyNumberFormat="1" applyFont="1" applyFill="1" applyBorder="1" applyAlignment="1">
      <alignment horizontal="center"/>
    </xf>
    <xf numFmtId="0" fontId="61" fillId="46" borderId="0" xfId="0" applyFont="1" applyFill="1" applyBorder="1" applyAlignment="1">
      <alignment horizontal="center" wrapText="1"/>
    </xf>
    <xf numFmtId="4" fontId="17" fillId="6" borderId="1" xfId="1" applyNumberFormat="1" applyFont="1" applyFill="1" applyBorder="1" applyAlignment="1">
      <alignment horizontal="right"/>
    </xf>
    <xf numFmtId="164" fontId="13" fillId="6" borderId="39" xfId="0" applyNumberFormat="1" applyFont="1" applyFill="1" applyBorder="1" applyAlignment="1">
      <alignment horizontal="right"/>
    </xf>
    <xf numFmtId="164" fontId="13" fillId="6" borderId="16" xfId="0" applyNumberFormat="1" applyFont="1" applyFill="1" applyBorder="1" applyAlignment="1">
      <alignment horizontal="right"/>
    </xf>
    <xf numFmtId="37" fontId="13" fillId="52" borderId="28" xfId="0" applyNumberFormat="1" applyFont="1" applyFill="1" applyBorder="1" applyAlignment="1">
      <alignment horizontal="right" indent="1"/>
    </xf>
    <xf numFmtId="37" fontId="13" fillId="52" borderId="15" xfId="0" applyNumberFormat="1" applyFont="1" applyFill="1" applyBorder="1" applyAlignment="1">
      <alignment horizontal="right" indent="1"/>
    </xf>
    <xf numFmtId="37" fontId="13" fillId="52" borderId="38" xfId="0" applyNumberFormat="1" applyFont="1" applyFill="1" applyBorder="1" applyAlignment="1">
      <alignment horizontal="right"/>
    </xf>
    <xf numFmtId="175" fontId="64" fillId="52" borderId="15" xfId="174" applyNumberFormat="1" applyFont="1" applyFill="1" applyBorder="1" applyAlignment="1">
      <alignment horizontal="right"/>
    </xf>
    <xf numFmtId="176" fontId="64" fillId="52" borderId="15" xfId="174" applyNumberFormat="1" applyFont="1" applyFill="1" applyBorder="1" applyAlignment="1">
      <alignment horizontal="right"/>
    </xf>
    <xf numFmtId="176" fontId="64" fillId="52" borderId="13" xfId="174" applyNumberFormat="1" applyFont="1" applyFill="1" applyBorder="1" applyAlignment="1">
      <alignment horizontal="right"/>
    </xf>
    <xf numFmtId="37" fontId="18" fillId="0" borderId="9" xfId="0" applyNumberFormat="1" applyFont="1" applyFill="1" applyBorder="1"/>
    <xf numFmtId="37" fontId="18" fillId="52" borderId="13" xfId="229" applyNumberFormat="1" applyFont="1" applyFill="1" applyBorder="1" applyAlignment="1">
      <alignment horizontal="right" indent="1"/>
    </xf>
    <xf numFmtId="37" fontId="18" fillId="52" borderId="11" xfId="229" applyNumberFormat="1" applyFont="1" applyFill="1" applyBorder="1" applyAlignment="1">
      <alignment horizontal="right" indent="1"/>
    </xf>
    <xf numFmtId="0" fontId="0" fillId="52" borderId="9" xfId="0" applyFill="1" applyBorder="1"/>
    <xf numFmtId="3" fontId="8" fillId="0" borderId="0" xfId="21" applyNumberFormat="1" applyBorder="1"/>
    <xf numFmtId="37" fontId="18" fillId="52" borderId="17" xfId="229" applyNumberFormat="1" applyFont="1" applyFill="1" applyBorder="1" applyAlignment="1">
      <alignment horizontal="right" indent="1"/>
    </xf>
    <xf numFmtId="164" fontId="18" fillId="52" borderId="10" xfId="1" applyNumberFormat="1" applyFont="1" applyFill="1" applyBorder="1"/>
    <xf numFmtId="0" fontId="12" fillId="51" borderId="13" xfId="174" applyFont="1" applyFill="1" applyBorder="1" applyAlignment="1">
      <alignment horizontal="right" indent="2"/>
    </xf>
    <xf numFmtId="0" fontId="12" fillId="51" borderId="13" xfId="174" applyFont="1" applyFill="1" applyBorder="1" applyAlignment="1">
      <alignment horizontal="right" indent="2"/>
    </xf>
    <xf numFmtId="166" fontId="17" fillId="6" borderId="1" xfId="1" applyNumberFormat="1" applyFont="1" applyFill="1" applyBorder="1" applyAlignment="1">
      <alignment horizontal="right"/>
    </xf>
    <xf numFmtId="0" fontId="17" fillId="47" borderId="0" xfId="0" applyFont="1" applyFill="1" applyBorder="1" applyAlignment="1">
      <alignment horizontal="center"/>
    </xf>
    <xf numFmtId="0" fontId="17" fillId="47" borderId="0" xfId="0" applyFont="1" applyFill="1" applyBorder="1"/>
    <xf numFmtId="0" fontId="17" fillId="47" borderId="0" xfId="0" applyFont="1" applyFill="1" applyAlignment="1">
      <alignment horizontal="right"/>
    </xf>
    <xf numFmtId="166" fontId="17" fillId="47" borderId="0" xfId="4" applyNumberFormat="1" applyFont="1" applyFill="1"/>
    <xf numFmtId="0" fontId="17" fillId="47" borderId="0" xfId="0" applyFont="1" applyFill="1" applyBorder="1" applyAlignment="1">
      <alignment horizontal="right"/>
    </xf>
    <xf numFmtId="0" fontId="17" fillId="47" borderId="0" xfId="0" applyFont="1" applyFill="1" applyAlignment="1">
      <alignment horizontal="center"/>
    </xf>
    <xf numFmtId="49" fontId="17" fillId="47" borderId="0" xfId="0" applyNumberFormat="1" applyFont="1" applyFill="1" applyBorder="1" applyAlignment="1">
      <alignment horizontal="center"/>
    </xf>
    <xf numFmtId="0" fontId="18" fillId="47" borderId="0" xfId="0" applyFont="1" applyFill="1" applyBorder="1"/>
    <xf numFmtId="0" fontId="18" fillId="47" borderId="0" xfId="0" applyFont="1" applyFill="1" applyBorder="1" applyAlignment="1"/>
    <xf numFmtId="0" fontId="13" fillId="47" borderId="0" xfId="0" applyFont="1" applyFill="1" applyBorder="1"/>
    <xf numFmtId="166" fontId="17" fillId="47" borderId="0" xfId="0" applyNumberFormat="1" applyFont="1" applyFill="1" applyBorder="1"/>
    <xf numFmtId="10" fontId="17" fillId="47" borderId="0" xfId="4" applyNumberFormat="1" applyFont="1" applyFill="1" applyBorder="1"/>
    <xf numFmtId="0" fontId="13" fillId="47" borderId="0" xfId="0" applyFont="1" applyFill="1" applyBorder="1" applyAlignment="1">
      <alignment horizontal="left"/>
    </xf>
    <xf numFmtId="0" fontId="13" fillId="47" borderId="0" xfId="0" applyFont="1" applyFill="1" applyBorder="1" applyAlignment="1">
      <alignment horizontal="centerContinuous"/>
    </xf>
    <xf numFmtId="0" fontId="17" fillId="47" borderId="0" xfId="0" applyFont="1" applyFill="1" applyBorder="1" applyAlignment="1">
      <alignment horizontal="centerContinuous"/>
    </xf>
    <xf numFmtId="0" fontId="13" fillId="47" borderId="0" xfId="0" applyFont="1" applyFill="1" applyBorder="1" applyAlignment="1">
      <alignment horizontal="center" wrapText="1"/>
    </xf>
    <xf numFmtId="166" fontId="17" fillId="47" borderId="0" xfId="4" applyNumberFormat="1" applyFont="1" applyFill="1" applyBorder="1"/>
    <xf numFmtId="164" fontId="17" fillId="47" borderId="0" xfId="1" applyNumberFormat="1" applyFont="1" applyFill="1" applyBorder="1"/>
    <xf numFmtId="0" fontId="13" fillId="47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7" fillId="0" borderId="0" xfId="0" applyFont="1" applyFill="1" applyAlignment="1">
      <alignment horizontal="center"/>
    </xf>
    <xf numFmtId="49" fontId="17" fillId="0" borderId="0" xfId="0" applyNumberFormat="1" applyFont="1" applyFill="1" applyBorder="1" applyAlignment="1">
      <alignment horizontal="center"/>
    </xf>
    <xf numFmtId="0" fontId="18" fillId="0" borderId="0" xfId="0" applyFont="1" applyFill="1" applyBorder="1" applyAlignment="1"/>
    <xf numFmtId="0" fontId="13" fillId="0" borderId="0" xfId="0" applyFont="1" applyFill="1" applyBorder="1"/>
    <xf numFmtId="10" fontId="17" fillId="0" borderId="0" xfId="4" applyNumberFormat="1" applyFont="1" applyFill="1" applyBorder="1"/>
    <xf numFmtId="0" fontId="13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centerContinuous"/>
    </xf>
    <xf numFmtId="0" fontId="17" fillId="0" borderId="0" xfId="0" applyFont="1" applyFill="1" applyBorder="1" applyAlignment="1">
      <alignment horizontal="centerContinuous"/>
    </xf>
    <xf numFmtId="0" fontId="18" fillId="47" borderId="0" xfId="5" applyFont="1" applyFill="1" applyBorder="1" applyAlignment="1">
      <alignment horizontal="center" vertical="center" wrapText="1"/>
    </xf>
    <xf numFmtId="0" fontId="17" fillId="47" borderId="0" xfId="3" applyFont="1" applyFill="1" applyAlignment="1">
      <alignment vertical="center"/>
    </xf>
    <xf numFmtId="0" fontId="17" fillId="47" borderId="0" xfId="0" applyFont="1" applyFill="1" applyAlignment="1">
      <alignment horizontal="center" vertical="center"/>
    </xf>
    <xf numFmtId="0" fontId="23" fillId="47" borderId="0" xfId="0" applyFont="1" applyFill="1" applyAlignment="1">
      <alignment horizontal="right"/>
    </xf>
    <xf numFmtId="0" fontId="23" fillId="47" borderId="0" xfId="0" applyFont="1" applyFill="1" applyAlignment="1">
      <alignment horizontal="center"/>
    </xf>
    <xf numFmtId="0" fontId="17" fillId="47" borderId="0" xfId="9" applyFont="1" applyFill="1" applyBorder="1" applyAlignment="1">
      <alignment horizontal="left" vertical="center" wrapText="1"/>
    </xf>
    <xf numFmtId="3" fontId="23" fillId="47" borderId="0" xfId="0" applyNumberFormat="1" applyFont="1" applyFill="1" applyAlignment="1">
      <alignment horizontal="center"/>
    </xf>
    <xf numFmtId="3" fontId="17" fillId="47" borderId="0" xfId="0" applyNumberFormat="1" applyFont="1" applyFill="1"/>
    <xf numFmtId="0" fontId="23" fillId="47" borderId="0" xfId="0" applyFont="1" applyFill="1"/>
    <xf numFmtId="0" fontId="17" fillId="47" borderId="0" xfId="0" applyFont="1" applyFill="1" applyBorder="1" applyAlignment="1">
      <alignment wrapText="1"/>
    </xf>
    <xf numFmtId="0" fontId="17" fillId="47" borderId="0" xfId="3" applyFont="1" applyFill="1" applyBorder="1" applyAlignment="1">
      <alignment vertical="center" wrapText="1"/>
    </xf>
    <xf numFmtId="3" fontId="17" fillId="47" borderId="0" xfId="0" applyNumberFormat="1" applyFont="1" applyFill="1" applyBorder="1"/>
    <xf numFmtId="2" fontId="17" fillId="47" borderId="0" xfId="0" applyNumberFormat="1" applyFont="1" applyFill="1" applyBorder="1"/>
    <xf numFmtId="0" fontId="17" fillId="0" borderId="0" xfId="0" applyFont="1" applyFill="1" applyBorder="1" applyAlignment="1">
      <alignment wrapText="1"/>
    </xf>
    <xf numFmtId="0" fontId="17" fillId="0" borderId="0" xfId="0" applyFont="1" applyFill="1" applyBorder="1" applyAlignment="1"/>
    <xf numFmtId="0" fontId="17" fillId="0" borderId="0" xfId="3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Alignment="1">
      <alignment wrapText="1"/>
    </xf>
    <xf numFmtId="0" fontId="39" fillId="47" borderId="0" xfId="27" applyFont="1" applyFill="1"/>
    <xf numFmtId="0" fontId="18" fillId="47" borderId="0" xfId="0" applyFont="1" applyFill="1"/>
    <xf numFmtId="0" fontId="18" fillId="0" borderId="0" xfId="0" applyFont="1" applyFill="1"/>
    <xf numFmtId="0" fontId="17" fillId="0" borderId="0" xfId="0" applyFont="1" applyFill="1" applyAlignment="1">
      <alignment horizontal="right"/>
    </xf>
    <xf numFmtId="49" fontId="17" fillId="0" borderId="0" xfId="0" applyNumberFormat="1" applyFont="1" applyFill="1" applyAlignment="1">
      <alignment horizontal="center"/>
    </xf>
    <xf numFmtId="0" fontId="18" fillId="0" borderId="0" xfId="0" applyFont="1" applyFill="1" applyAlignment="1"/>
    <xf numFmtId="0" fontId="18" fillId="47" borderId="0" xfId="5" applyFont="1" applyFill="1" applyBorder="1" applyAlignment="1">
      <alignment horizontal="left"/>
    </xf>
    <xf numFmtId="0" fontId="66" fillId="47" borderId="0" xfId="0" applyFont="1" applyFill="1"/>
    <xf numFmtId="0" fontId="17" fillId="0" borderId="0" xfId="3" applyFont="1" applyFill="1" applyAlignment="1">
      <alignment vertical="center"/>
    </xf>
    <xf numFmtId="0" fontId="67" fillId="47" borderId="0" xfId="2" applyFont="1" applyFill="1" applyAlignment="1">
      <alignment vertical="center"/>
    </xf>
    <xf numFmtId="0" fontId="67" fillId="47" borderId="0" xfId="2" applyFont="1" applyFill="1" applyAlignment="1">
      <alignment horizontal="center" vertical="center"/>
    </xf>
    <xf numFmtId="0" fontId="68" fillId="47" borderId="0" xfId="128" applyFont="1" applyFill="1" applyBorder="1" applyAlignment="1">
      <alignment wrapText="1"/>
    </xf>
    <xf numFmtId="0" fontId="68" fillId="47" borderId="0" xfId="0" applyFont="1" applyFill="1" applyBorder="1" applyAlignment="1">
      <alignment wrapText="1"/>
    </xf>
    <xf numFmtId="0" fontId="66" fillId="47" borderId="0" xfId="7" quotePrefix="1" applyFont="1" applyFill="1" applyBorder="1" applyAlignment="1"/>
    <xf numFmtId="0" fontId="25" fillId="47" borderId="0" xfId="0" applyFont="1" applyFill="1"/>
    <xf numFmtId="0" fontId="69" fillId="53" borderId="41" xfId="0" applyFont="1" applyFill="1" applyBorder="1" applyAlignment="1">
      <alignment horizontal="center" vertical="center" wrapText="1"/>
    </xf>
    <xf numFmtId="0" fontId="69" fillId="53" borderId="42" xfId="0" applyFont="1" applyFill="1" applyBorder="1" applyAlignment="1">
      <alignment horizontal="center" vertical="center" wrapText="1"/>
    </xf>
    <xf numFmtId="0" fontId="69" fillId="53" borderId="40" xfId="0" applyFont="1" applyFill="1" applyBorder="1" applyAlignment="1">
      <alignment horizontal="center" vertical="center" wrapText="1"/>
    </xf>
    <xf numFmtId="0" fontId="70" fillId="53" borderId="40" xfId="0" applyFont="1" applyFill="1" applyBorder="1" applyAlignment="1">
      <alignment horizontal="right" vertical="center" wrapText="1"/>
    </xf>
    <xf numFmtId="0" fontId="25" fillId="0" borderId="0" xfId="0" applyFont="1" applyFill="1"/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3" fontId="12" fillId="0" borderId="24" xfId="0" applyNumberFormat="1" applyFont="1" applyFill="1" applyBorder="1" applyAlignment="1">
      <alignment horizontal="center"/>
    </xf>
    <xf numFmtId="3" fontId="12" fillId="0" borderId="19" xfId="0" applyNumberFormat="1" applyFont="1" applyFill="1" applyBorder="1" applyAlignment="1">
      <alignment horizontal="center"/>
    </xf>
    <xf numFmtId="170" fontId="12" fillId="4" borderId="1" xfId="0" applyNumberFormat="1" applyFont="1" applyFill="1" applyBorder="1" applyAlignment="1">
      <alignment horizontal="center"/>
    </xf>
    <xf numFmtId="20" fontId="17" fillId="47" borderId="0" xfId="0" applyNumberFormat="1" applyFont="1" applyFill="1"/>
    <xf numFmtId="0" fontId="17" fillId="47" borderId="0" xfId="0" applyFont="1" applyFill="1" applyBorder="1" applyAlignment="1">
      <alignment horizontal="left"/>
    </xf>
    <xf numFmtId="3" fontId="12" fillId="4" borderId="24" xfId="0" applyNumberFormat="1" applyFont="1" applyFill="1" applyBorder="1" applyAlignment="1">
      <alignment horizontal="center"/>
    </xf>
    <xf numFmtId="3" fontId="12" fillId="4" borderId="19" xfId="0" applyNumberFormat="1" applyFont="1" applyFill="1" applyBorder="1" applyAlignment="1">
      <alignment horizontal="center"/>
    </xf>
    <xf numFmtId="1" fontId="12" fillId="0" borderId="6" xfId="0" applyNumberFormat="1" applyFont="1" applyFill="1" applyBorder="1" applyAlignment="1">
      <alignment horizontal="center"/>
    </xf>
    <xf numFmtId="3" fontId="17" fillId="47" borderId="0" xfId="0" applyNumberFormat="1" applyFont="1" applyFill="1" applyBorder="1" applyAlignment="1">
      <alignment horizontal="center"/>
    </xf>
    <xf numFmtId="164" fontId="13" fillId="10" borderId="28" xfId="0" applyNumberFormat="1" applyFont="1" applyFill="1" applyBorder="1" applyAlignment="1">
      <alignment horizontal="center"/>
    </xf>
    <xf numFmtId="164" fontId="13" fillId="10" borderId="16" xfId="0" applyNumberFormat="1" applyFont="1" applyFill="1" applyBorder="1" applyAlignment="1">
      <alignment horizontal="center"/>
    </xf>
    <xf numFmtId="164" fontId="17" fillId="47" borderId="0" xfId="0" applyNumberFormat="1" applyFont="1" applyFill="1"/>
    <xf numFmtId="43" fontId="17" fillId="47" borderId="0" xfId="0" applyNumberFormat="1" applyFont="1" applyFill="1"/>
    <xf numFmtId="179" fontId="17" fillId="5" borderId="1" xfId="1" applyNumberFormat="1" applyFont="1" applyFill="1" applyBorder="1" applyAlignment="1">
      <alignment horizontal="right"/>
    </xf>
    <xf numFmtId="39" fontId="0" fillId="6" borderId="1" xfId="1" applyNumberFormat="1" applyFont="1" applyFill="1" applyBorder="1"/>
    <xf numFmtId="3" fontId="0" fillId="0" borderId="0" xfId="0" applyNumberFormat="1" applyAlignment="1"/>
    <xf numFmtId="2" fontId="0" fillId="0" borderId="0" xfId="0" applyNumberFormat="1" applyAlignment="1">
      <alignment wrapText="1"/>
    </xf>
    <xf numFmtId="2" fontId="0" fillId="0" borderId="0" xfId="0" applyNumberFormat="1"/>
    <xf numFmtId="4" fontId="0" fillId="5" borderId="1" xfId="0" applyNumberFormat="1" applyFont="1" applyFill="1" applyBorder="1" applyAlignment="1">
      <alignment horizontal="center"/>
    </xf>
    <xf numFmtId="9" fontId="17" fillId="47" borderId="0" xfId="4" applyFont="1" applyFill="1" applyBorder="1"/>
    <xf numFmtId="3" fontId="0" fillId="5" borderId="1" xfId="0" applyNumberFormat="1" applyFont="1" applyFill="1" applyBorder="1" applyAlignment="1">
      <alignment horizontal="center"/>
    </xf>
    <xf numFmtId="0" fontId="17" fillId="47" borderId="0" xfId="0" applyFont="1" applyFill="1" applyAlignment="1"/>
    <xf numFmtId="0" fontId="19" fillId="47" borderId="0" xfId="27" applyFill="1" applyBorder="1"/>
    <xf numFmtId="0" fontId="61" fillId="49" borderId="0" xfId="174" applyFont="1" applyFill="1" applyBorder="1" applyAlignment="1">
      <alignment horizontal="left" wrapText="1"/>
    </xf>
    <xf numFmtId="0" fontId="61" fillId="46" borderId="0" xfId="128" applyFont="1" applyFill="1" applyBorder="1" applyAlignment="1">
      <alignment horizontal="left" wrapText="1"/>
    </xf>
    <xf numFmtId="165" fontId="17" fillId="5" borderId="1" xfId="4" applyNumberFormat="1" applyFont="1" applyFill="1" applyBorder="1" applyAlignment="1">
      <alignment horizontal="center"/>
    </xf>
    <xf numFmtId="43" fontId="66" fillId="47" borderId="0" xfId="7" quotePrefix="1" applyNumberFormat="1" applyFont="1" applyFill="1" applyBorder="1" applyAlignment="1"/>
    <xf numFmtId="166" fontId="17" fillId="0" borderId="0" xfId="1" applyNumberFormat="1" applyFont="1" applyFill="1" applyBorder="1" applyAlignment="1">
      <alignment horizontal="right"/>
    </xf>
    <xf numFmtId="0" fontId="22" fillId="0" borderId="0" xfId="0" applyFont="1" applyBorder="1"/>
    <xf numFmtId="3" fontId="12" fillId="8" borderId="1" xfId="0" applyNumberFormat="1" applyFont="1" applyFill="1" applyBorder="1" applyAlignment="1">
      <alignment horizontal="center" vertical="center"/>
    </xf>
    <xf numFmtId="3" fontId="12" fillId="8" borderId="1" xfId="0" applyNumberFormat="1" applyFont="1" applyFill="1" applyBorder="1" applyAlignment="1">
      <alignment horizontal="center" vertical="center" wrapText="1"/>
    </xf>
    <xf numFmtId="3" fontId="18" fillId="4" borderId="1" xfId="0" applyNumberFormat="1" applyFont="1" applyFill="1" applyBorder="1" applyAlignment="1">
      <alignment horizontal="center" vertical="center"/>
    </xf>
    <xf numFmtId="0" fontId="17" fillId="51" borderId="0" xfId="0" applyFont="1" applyFill="1" applyBorder="1" applyAlignment="1">
      <alignment vertical="center"/>
    </xf>
    <xf numFmtId="0" fontId="17" fillId="51" borderId="0" xfId="0" applyFont="1" applyFill="1" applyAlignment="1">
      <alignment vertical="center"/>
    </xf>
    <xf numFmtId="0" fontId="0" fillId="51" borderId="3" xfId="0" applyFill="1" applyBorder="1" applyAlignment="1">
      <alignment vertical="center"/>
    </xf>
    <xf numFmtId="9" fontId="18" fillId="4" borderId="1" xfId="4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65" fontId="17" fillId="51" borderId="0" xfId="4" applyNumberFormat="1" applyFont="1" applyFill="1" applyBorder="1" applyAlignment="1">
      <alignment horizontal="center"/>
    </xf>
    <xf numFmtId="0" fontId="0" fillId="51" borderId="0" xfId="0" applyFont="1" applyFill="1" applyBorder="1" applyAlignment="1">
      <alignment horizontal="center"/>
    </xf>
    <xf numFmtId="4" fontId="0" fillId="51" borderId="0" xfId="0" applyNumberFormat="1" applyFont="1" applyFill="1" applyBorder="1" applyAlignment="1">
      <alignment horizontal="center"/>
    </xf>
    <xf numFmtId="3" fontId="0" fillId="51" borderId="0" xfId="0" applyNumberFormat="1" applyFont="1" applyFill="1" applyBorder="1" applyAlignment="1">
      <alignment horizontal="center"/>
    </xf>
    <xf numFmtId="3" fontId="12" fillId="8" borderId="19" xfId="0" applyNumberFormat="1" applyFont="1" applyFill="1" applyBorder="1" applyAlignment="1">
      <alignment horizontal="center" vertical="center"/>
    </xf>
    <xf numFmtId="9" fontId="18" fillId="51" borderId="4" xfId="4" applyFont="1" applyFill="1" applyBorder="1" applyAlignment="1">
      <alignment vertical="center"/>
    </xf>
    <xf numFmtId="0" fontId="18" fillId="51" borderId="0" xfId="4" applyNumberFormat="1" applyFont="1" applyFill="1" applyBorder="1" applyAlignment="1"/>
    <xf numFmtId="2" fontId="18" fillId="51" borderId="0" xfId="4" applyNumberFormat="1" applyFont="1" applyFill="1" applyBorder="1" applyAlignment="1"/>
    <xf numFmtId="3" fontId="12" fillId="51" borderId="0" xfId="0" applyNumberFormat="1" applyFont="1" applyFill="1" applyBorder="1" applyAlignment="1"/>
    <xf numFmtId="1" fontId="12" fillId="51" borderId="0" xfId="0" applyNumberFormat="1" applyFont="1" applyFill="1" applyBorder="1" applyAlignment="1"/>
    <xf numFmtId="0" fontId="0" fillId="51" borderId="3" xfId="0" applyFont="1" applyFill="1" applyBorder="1"/>
    <xf numFmtId="3" fontId="12" fillId="51" borderId="4" xfId="0" applyNumberFormat="1" applyFont="1" applyFill="1" applyBorder="1" applyAlignment="1">
      <alignment vertical="center"/>
    </xf>
    <xf numFmtId="2" fontId="18" fillId="4" borderId="1" xfId="4" applyNumberFormat="1" applyFont="1" applyFill="1" applyBorder="1" applyAlignment="1">
      <alignment horizontal="center"/>
    </xf>
    <xf numFmtId="2" fontId="17" fillId="6" borderId="1" xfId="1" applyNumberFormat="1" applyFont="1" applyFill="1" applyBorder="1" applyAlignment="1">
      <alignment horizontal="center"/>
    </xf>
    <xf numFmtId="2" fontId="17" fillId="51" borderId="0" xfId="1" applyNumberFormat="1" applyFont="1" applyFill="1" applyBorder="1" applyAlignment="1">
      <alignment horizontal="center"/>
    </xf>
    <xf numFmtId="169" fontId="17" fillId="51" borderId="0" xfId="1" applyNumberFormat="1" applyFont="1" applyFill="1" applyBorder="1" applyAlignment="1">
      <alignment horizontal="center"/>
    </xf>
    <xf numFmtId="0" fontId="17" fillId="51" borderId="3" xfId="0" applyFont="1" applyFill="1" applyBorder="1"/>
    <xf numFmtId="164" fontId="17" fillId="6" borderId="24" xfId="1" applyNumberFormat="1" applyFont="1" applyFill="1" applyBorder="1"/>
    <xf numFmtId="2" fontId="17" fillId="0" borderId="0" xfId="1" applyNumberFormat="1" applyFont="1" applyFill="1" applyBorder="1" applyAlignment="1">
      <alignment horizontal="center"/>
    </xf>
    <xf numFmtId="2" fontId="17" fillId="0" borderId="6" xfId="1" applyNumberFormat="1" applyFont="1" applyFill="1" applyBorder="1" applyAlignment="1">
      <alignment horizontal="center"/>
    </xf>
    <xf numFmtId="9" fontId="18" fillId="4" borderId="19" xfId="4" applyNumberFormat="1" applyFont="1" applyFill="1" applyBorder="1" applyAlignment="1">
      <alignment horizontal="center" vertical="center"/>
    </xf>
    <xf numFmtId="9" fontId="18" fillId="4" borderId="1" xfId="4" applyNumberFormat="1" applyFont="1" applyFill="1" applyBorder="1" applyAlignment="1">
      <alignment horizontal="center" vertical="center"/>
    </xf>
    <xf numFmtId="9" fontId="17" fillId="6" borderId="1" xfId="4" applyNumberFormat="1" applyFont="1" applyFill="1" applyBorder="1" applyAlignment="1">
      <alignment horizontal="center"/>
    </xf>
    <xf numFmtId="164" fontId="18" fillId="6" borderId="10" xfId="1" applyNumberFormat="1" applyFont="1" applyFill="1" applyBorder="1"/>
    <xf numFmtId="164" fontId="17" fillId="0" borderId="12" xfId="1" applyNumberFormat="1" applyFont="1" applyFill="1" applyBorder="1"/>
    <xf numFmtId="0" fontId="22" fillId="0" borderId="12" xfId="0" applyFont="1" applyBorder="1"/>
    <xf numFmtId="169" fontId="17" fillId="6" borderId="1" xfId="1" applyNumberFormat="1" applyFont="1" applyFill="1" applyBorder="1" applyAlignment="1">
      <alignment horizontal="left" indent="1"/>
    </xf>
    <xf numFmtId="3" fontId="18" fillId="4" borderId="3" xfId="0" applyNumberFormat="1" applyFont="1" applyFill="1" applyBorder="1" applyAlignment="1">
      <alignment horizontal="center" vertical="center"/>
    </xf>
    <xf numFmtId="3" fontId="18" fillId="4" borderId="4" xfId="0" applyNumberFormat="1" applyFont="1" applyFill="1" applyBorder="1" applyAlignment="1">
      <alignment horizontal="center" vertical="center"/>
    </xf>
    <xf numFmtId="3" fontId="18" fillId="4" borderId="0" xfId="0" applyNumberFormat="1" applyFont="1" applyFill="1" applyBorder="1" applyAlignment="1">
      <alignment horizontal="center" vertical="center"/>
    </xf>
    <xf numFmtId="2" fontId="18" fillId="4" borderId="1" xfId="4" applyNumberFormat="1" applyFont="1" applyFill="1" applyBorder="1" applyAlignment="1">
      <alignment horizontal="center" vertical="center"/>
    </xf>
    <xf numFmtId="0" fontId="0" fillId="51" borderId="0" xfId="0" applyFont="1" applyFill="1" applyAlignment="1">
      <alignment vertical="center"/>
    </xf>
    <xf numFmtId="3" fontId="8" fillId="8" borderId="1" xfId="21" applyNumberFormat="1" applyFont="1" applyFill="1" applyBorder="1" applyAlignment="1">
      <alignment horizontal="center"/>
    </xf>
    <xf numFmtId="9" fontId="8" fillId="8" borderId="1" xfId="21" applyNumberFormat="1" applyFont="1" applyFill="1" applyBorder="1" applyAlignment="1">
      <alignment horizontal="center"/>
    </xf>
    <xf numFmtId="9" fontId="17" fillId="4" borderId="1" xfId="23" applyNumberFormat="1" applyFont="1" applyFill="1" applyBorder="1" applyAlignment="1">
      <alignment horizontal="center"/>
    </xf>
    <xf numFmtId="2" fontId="17" fillId="4" borderId="1" xfId="23" applyNumberFormat="1" applyFont="1" applyFill="1" applyBorder="1" applyAlignment="1">
      <alignment horizontal="center"/>
    </xf>
    <xf numFmtId="0" fontId="0" fillId="5" borderId="24" xfId="0" applyFont="1" applyFill="1" applyBorder="1" applyAlignment="1">
      <alignment horizontal="center"/>
    </xf>
    <xf numFmtId="170" fontId="17" fillId="13" borderId="1" xfId="1" applyNumberFormat="1" applyFont="1" applyFill="1" applyBorder="1"/>
    <xf numFmtId="3" fontId="17" fillId="52" borderId="1" xfId="1" applyNumberFormat="1" applyFont="1" applyFill="1" applyBorder="1" applyAlignment="1">
      <alignment horizontal="right"/>
    </xf>
    <xf numFmtId="169" fontId="17" fillId="6" borderId="5" xfId="1" applyNumberFormat="1" applyFont="1" applyFill="1" applyBorder="1" applyAlignment="1">
      <alignment horizontal="center"/>
    </xf>
    <xf numFmtId="0" fontId="17" fillId="0" borderId="0" xfId="0" applyFont="1" applyFill="1" applyAlignment="1">
      <alignment horizontal="center" vertical="center"/>
    </xf>
    <xf numFmtId="0" fontId="8" fillId="0" borderId="7" xfId="21" applyFont="1" applyFill="1" applyBorder="1"/>
    <xf numFmtId="3" fontId="12" fillId="8" borderId="1" xfId="21" applyNumberFormat="1" applyFont="1" applyFill="1" applyBorder="1" applyAlignment="1"/>
    <xf numFmtId="9" fontId="12" fillId="8" borderId="1" xfId="21" applyNumberFormat="1" applyFont="1" applyFill="1" applyBorder="1" applyAlignment="1"/>
    <xf numFmtId="165" fontId="17" fillId="45" borderId="25" xfId="4" applyNumberFormat="1" applyFont="1" applyFill="1" applyBorder="1" applyAlignment="1">
      <alignment horizontal="right" vertical="center" wrapText="1"/>
    </xf>
    <xf numFmtId="0" fontId="60" fillId="45" borderId="0" xfId="0" applyFont="1" applyFill="1" applyAlignment="1">
      <alignment horizontal="left" vertical="center"/>
    </xf>
    <xf numFmtId="0" fontId="0" fillId="52" borderId="12" xfId="0" applyFill="1" applyBorder="1"/>
    <xf numFmtId="164" fontId="18" fillId="6" borderId="8" xfId="1" applyNumberFormat="1" applyFont="1" applyFill="1" applyBorder="1"/>
    <xf numFmtId="164" fontId="18" fillId="6" borderId="9" xfId="1" applyNumberFormat="1" applyFont="1" applyFill="1" applyBorder="1"/>
    <xf numFmtId="37" fontId="18" fillId="52" borderId="12" xfId="229" applyNumberFormat="1" applyFont="1" applyFill="1" applyBorder="1" applyAlignment="1">
      <alignment horizontal="right" indent="1"/>
    </xf>
    <xf numFmtId="0" fontId="18" fillId="4" borderId="24" xfId="4" applyNumberFormat="1" applyFont="1" applyFill="1" applyBorder="1" applyAlignment="1">
      <alignment horizontal="center"/>
    </xf>
    <xf numFmtId="0" fontId="0" fillId="5" borderId="22" xfId="0" applyFont="1" applyFill="1" applyBorder="1"/>
    <xf numFmtId="0" fontId="0" fillId="5" borderId="27" xfId="0" applyFont="1" applyFill="1" applyBorder="1"/>
    <xf numFmtId="3" fontId="12" fillId="8" borderId="27" xfId="0" applyNumberFormat="1" applyFont="1" applyFill="1" applyBorder="1" applyAlignment="1">
      <alignment horizontal="center"/>
    </xf>
    <xf numFmtId="3" fontId="12" fillId="8" borderId="24" xfId="0" applyNumberFormat="1" applyFont="1" applyFill="1" applyBorder="1" applyAlignment="1">
      <alignment horizontal="center"/>
    </xf>
    <xf numFmtId="170" fontId="12" fillId="8" borderId="24" xfId="0" applyNumberFormat="1" applyFont="1" applyFill="1" applyBorder="1" applyAlignment="1">
      <alignment horizontal="center"/>
    </xf>
    <xf numFmtId="3" fontId="18" fillId="4" borderId="24" xfId="0" applyNumberFormat="1" applyFont="1" applyFill="1" applyBorder="1" applyAlignment="1">
      <alignment horizontal="center"/>
    </xf>
    <xf numFmtId="9" fontId="18" fillId="4" borderId="24" xfId="4" applyFont="1" applyFill="1" applyBorder="1" applyAlignment="1">
      <alignment horizontal="center"/>
    </xf>
    <xf numFmtId="0" fontId="17" fillId="51" borderId="3" xfId="0" applyFont="1" applyFill="1" applyBorder="1" applyAlignment="1"/>
    <xf numFmtId="0" fontId="17" fillId="51" borderId="3" xfId="0" applyFont="1" applyFill="1" applyBorder="1" applyAlignment="1">
      <alignment horizontal="left"/>
    </xf>
    <xf numFmtId="2" fontId="18" fillId="4" borderId="24" xfId="4" applyNumberFormat="1" applyFont="1" applyFill="1" applyBorder="1" applyAlignment="1">
      <alignment horizontal="center" vertical="center"/>
    </xf>
    <xf numFmtId="3" fontId="12" fillId="8" borderId="24" xfId="0" applyNumberFormat="1" applyFont="1" applyFill="1" applyBorder="1" applyAlignment="1">
      <alignment horizontal="center" vertical="center"/>
    </xf>
    <xf numFmtId="3" fontId="18" fillId="4" borderId="24" xfId="0" applyNumberFormat="1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3" fontId="12" fillId="0" borderId="6" xfId="0" applyNumberFormat="1" applyFont="1" applyFill="1" applyBorder="1" applyAlignment="1">
      <alignment horizontal="center" vertical="center"/>
    </xf>
    <xf numFmtId="43" fontId="17" fillId="0" borderId="6" xfId="1" applyNumberFormat="1" applyFont="1" applyFill="1" applyBorder="1"/>
    <xf numFmtId="164" fontId="17" fillId="0" borderId="6" xfId="1" applyNumberFormat="1" applyFont="1" applyFill="1" applyBorder="1"/>
    <xf numFmtId="2" fontId="17" fillId="0" borderId="26" xfId="1" applyNumberFormat="1" applyFont="1" applyFill="1" applyBorder="1" applyAlignment="1">
      <alignment horizontal="center"/>
    </xf>
    <xf numFmtId="0" fontId="17" fillId="51" borderId="3" xfId="0" applyFont="1" applyFill="1" applyBorder="1" applyAlignment="1">
      <alignment vertical="center"/>
    </xf>
    <xf numFmtId="165" fontId="17" fillId="51" borderId="3" xfId="4" applyNumberFormat="1" applyFont="1" applyFill="1" applyBorder="1" applyAlignment="1">
      <alignment horizontal="center"/>
    </xf>
    <xf numFmtId="0" fontId="12" fillId="54" borderId="1" xfId="21" applyFont="1" applyFill="1" applyBorder="1" applyAlignment="1">
      <alignment horizontal="center"/>
    </xf>
    <xf numFmtId="175" fontId="64" fillId="52" borderId="14" xfId="174" applyNumberFormat="1" applyFont="1" applyFill="1" applyBorder="1" applyAlignment="1">
      <alignment horizontal="right"/>
    </xf>
    <xf numFmtId="176" fontId="64" fillId="52" borderId="14" xfId="174" applyNumberFormat="1" applyFont="1" applyFill="1" applyBorder="1" applyAlignment="1">
      <alignment horizontal="right"/>
    </xf>
    <xf numFmtId="164" fontId="13" fillId="10" borderId="10" xfId="0" applyNumberFormat="1" applyFont="1" applyFill="1" applyBorder="1"/>
    <xf numFmtId="164" fontId="13" fillId="10" borderId="15" xfId="0" applyNumberFormat="1" applyFont="1" applyFill="1" applyBorder="1"/>
    <xf numFmtId="164" fontId="13" fillId="10" borderId="8" xfId="0" applyNumberFormat="1" applyFont="1" applyFill="1" applyBorder="1"/>
    <xf numFmtId="164" fontId="13" fillId="10" borderId="14" xfId="0" applyNumberFormat="1" applyFont="1" applyFill="1" applyBorder="1"/>
    <xf numFmtId="37" fontId="13" fillId="52" borderId="10" xfId="0" applyNumberFormat="1" applyFont="1" applyFill="1" applyBorder="1" applyAlignment="1">
      <alignment horizontal="right" indent="1"/>
    </xf>
    <xf numFmtId="37" fontId="13" fillId="52" borderId="13" xfId="0" applyNumberFormat="1" applyFont="1" applyFill="1" applyBorder="1" applyAlignment="1">
      <alignment horizontal="right"/>
    </xf>
    <xf numFmtId="37" fontId="13" fillId="52" borderId="8" xfId="0" applyNumberFormat="1" applyFont="1" applyFill="1" applyBorder="1" applyAlignment="1">
      <alignment horizontal="right" indent="1"/>
    </xf>
    <xf numFmtId="37" fontId="13" fillId="52" borderId="14" xfId="0" applyNumberFormat="1" applyFont="1" applyFill="1" applyBorder="1" applyAlignment="1">
      <alignment horizontal="right" indent="1"/>
    </xf>
    <xf numFmtId="37" fontId="13" fillId="52" borderId="11" xfId="0" applyNumberFormat="1" applyFont="1" applyFill="1" applyBorder="1" applyAlignment="1">
      <alignment horizontal="right"/>
    </xf>
    <xf numFmtId="164" fontId="13" fillId="6" borderId="10" xfId="0" applyNumberFormat="1" applyFont="1" applyFill="1" applyBorder="1" applyAlignment="1">
      <alignment horizontal="right"/>
    </xf>
    <xf numFmtId="164" fontId="13" fillId="6" borderId="15" xfId="0" applyNumberFormat="1" applyFont="1" applyFill="1" applyBorder="1" applyAlignment="1">
      <alignment horizontal="right"/>
    </xf>
    <xf numFmtId="164" fontId="13" fillId="6" borderId="13" xfId="0" applyNumberFormat="1" applyFont="1" applyFill="1" applyBorder="1" applyAlignment="1">
      <alignment horizontal="right"/>
    </xf>
    <xf numFmtId="164" fontId="13" fillId="6" borderId="8" xfId="0" applyNumberFormat="1" applyFont="1" applyFill="1" applyBorder="1" applyAlignment="1">
      <alignment horizontal="right"/>
    </xf>
    <xf numFmtId="164" fontId="13" fillId="6" borderId="14" xfId="0" applyNumberFormat="1" applyFont="1" applyFill="1" applyBorder="1" applyAlignment="1">
      <alignment horizontal="right"/>
    </xf>
    <xf numFmtId="164" fontId="13" fillId="6" borderId="11" xfId="0" applyNumberFormat="1" applyFont="1" applyFill="1" applyBorder="1" applyAlignment="1">
      <alignment horizontal="right"/>
    </xf>
    <xf numFmtId="164" fontId="13" fillId="10" borderId="13" xfId="0" applyNumberFormat="1" applyFont="1" applyFill="1" applyBorder="1"/>
    <xf numFmtId="37" fontId="18" fillId="52" borderId="10" xfId="0" applyNumberFormat="1" applyFont="1" applyFill="1" applyBorder="1"/>
    <xf numFmtId="37" fontId="18" fillId="52" borderId="13" xfId="0" applyNumberFormat="1" applyFont="1" applyFill="1" applyBorder="1"/>
    <xf numFmtId="37" fontId="18" fillId="52" borderId="8" xfId="0" applyNumberFormat="1" applyFont="1" applyFill="1" applyBorder="1"/>
    <xf numFmtId="37" fontId="18" fillId="52" borderId="11" xfId="0" applyNumberFormat="1" applyFont="1" applyFill="1" applyBorder="1"/>
    <xf numFmtId="164" fontId="13" fillId="10" borderId="10" xfId="0" applyNumberFormat="1" applyFont="1" applyFill="1" applyBorder="1" applyAlignment="1">
      <alignment horizontal="center"/>
    </xf>
    <xf numFmtId="164" fontId="13" fillId="10" borderId="15" xfId="0" applyNumberFormat="1" applyFont="1" applyFill="1" applyBorder="1" applyAlignment="1">
      <alignment horizontal="center"/>
    </xf>
    <xf numFmtId="164" fontId="13" fillId="10" borderId="8" xfId="0" applyNumberFormat="1" applyFont="1" applyFill="1" applyBorder="1" applyAlignment="1">
      <alignment horizontal="center"/>
    </xf>
    <xf numFmtId="164" fontId="13" fillId="10" borderId="14" xfId="0" applyNumberFormat="1" applyFont="1" applyFill="1" applyBorder="1" applyAlignment="1">
      <alignment horizontal="center"/>
    </xf>
    <xf numFmtId="164" fontId="13" fillId="10" borderId="11" xfId="0" applyNumberFormat="1" applyFont="1" applyFill="1" applyBorder="1" applyAlignment="1">
      <alignment horizontal="center"/>
    </xf>
    <xf numFmtId="164" fontId="13" fillId="10" borderId="13" xfId="0" applyNumberFormat="1" applyFont="1" applyFill="1" applyBorder="1" applyAlignment="1">
      <alignment horizontal="center"/>
    </xf>
    <xf numFmtId="0" fontId="0" fillId="5" borderId="0" xfId="0" applyFont="1" applyFill="1" applyBorder="1"/>
    <xf numFmtId="0" fontId="12" fillId="0" borderId="0" xfId="21" applyFont="1" applyFill="1" applyBorder="1"/>
    <xf numFmtId="0" fontId="72" fillId="0" borderId="0" xfId="0" applyFont="1"/>
    <xf numFmtId="0" fontId="12" fillId="0" borderId="0" xfId="21" applyFont="1"/>
    <xf numFmtId="165" fontId="17" fillId="5" borderId="1" xfId="4" applyNumberFormat="1" applyFont="1" applyFill="1" applyBorder="1" applyAlignment="1">
      <alignment horizontal="center"/>
    </xf>
    <xf numFmtId="0" fontId="17" fillId="0" borderId="0" xfId="0" applyNumberFormat="1" applyFont="1" applyBorder="1"/>
    <xf numFmtId="2" fontId="17" fillId="13" borderId="1" xfId="4" applyNumberFormat="1" applyFont="1" applyFill="1" applyBorder="1" applyAlignment="1">
      <alignment horizontal="right"/>
    </xf>
    <xf numFmtId="0" fontId="0" fillId="0" borderId="9" xfId="0" applyBorder="1"/>
    <xf numFmtId="0" fontId="12" fillId="51" borderId="17" xfId="0" applyFont="1" applyFill="1" applyBorder="1" applyAlignment="1">
      <alignment horizontal="right" indent="2"/>
    </xf>
    <xf numFmtId="0" fontId="0" fillId="14" borderId="1" xfId="0" applyFill="1" applyBorder="1"/>
    <xf numFmtId="0" fontId="0" fillId="0" borderId="1" xfId="0" applyBorder="1"/>
    <xf numFmtId="0" fontId="0" fillId="0" borderId="1" xfId="0" applyBorder="1"/>
    <xf numFmtId="0" fontId="0" fillId="0" borderId="1" xfId="0" applyFill="1" applyBorder="1"/>
    <xf numFmtId="0" fontId="0" fillId="0" borderId="1" xfId="0" applyBorder="1"/>
    <xf numFmtId="0" fontId="0" fillId="0" borderId="1" xfId="0" applyBorder="1"/>
    <xf numFmtId="0" fontId="0" fillId="0" borderId="1" xfId="0" applyFill="1" applyBorder="1"/>
    <xf numFmtId="0" fontId="0" fillId="0" borderId="1" xfId="0" applyBorder="1"/>
    <xf numFmtId="0" fontId="0" fillId="0" borderId="1" xfId="0" applyBorder="1"/>
    <xf numFmtId="0" fontId="0" fillId="0" borderId="0" xfId="0"/>
    <xf numFmtId="0" fontId="0" fillId="0" borderId="1" xfId="0" applyBorder="1"/>
    <xf numFmtId="0" fontId="0" fillId="15" borderId="1" xfId="0" applyFill="1" applyBorder="1"/>
    <xf numFmtId="0" fontId="0" fillId="0" borderId="1" xfId="0" applyBorder="1"/>
    <xf numFmtId="0" fontId="0" fillId="0" borderId="1" xfId="0" applyBorder="1"/>
    <xf numFmtId="0" fontId="0" fillId="0" borderId="1" xfId="0" applyBorder="1"/>
    <xf numFmtId="0" fontId="0" fillId="0" borderId="1" xfId="0" applyBorder="1"/>
    <xf numFmtId="0" fontId="0" fillId="0" borderId="0" xfId="0"/>
    <xf numFmtId="0" fontId="0" fillId="0" borderId="1" xfId="0" applyBorder="1"/>
    <xf numFmtId="0" fontId="0" fillId="0" borderId="1" xfId="0" applyFill="1" applyBorder="1"/>
    <xf numFmtId="0" fontId="0" fillId="14" borderId="1" xfId="0" applyFill="1" applyBorder="1"/>
    <xf numFmtId="176" fontId="64" fillId="52" borderId="0" xfId="174" applyNumberFormat="1" applyFont="1" applyFill="1" applyBorder="1" applyAlignment="1">
      <alignment horizontal="right"/>
    </xf>
    <xf numFmtId="164" fontId="13" fillId="10" borderId="0" xfId="0" applyNumberFormat="1" applyFont="1" applyFill="1" applyBorder="1"/>
    <xf numFmtId="176" fontId="64" fillId="52" borderId="12" xfId="174" applyNumberFormat="1" applyFont="1" applyFill="1" applyBorder="1" applyAlignment="1">
      <alignment horizontal="right"/>
    </xf>
    <xf numFmtId="164" fontId="13" fillId="6" borderId="37" xfId="0" applyNumberFormat="1" applyFont="1" applyFill="1" applyBorder="1" applyAlignment="1">
      <alignment horizontal="right"/>
    </xf>
    <xf numFmtId="164" fontId="13" fillId="0" borderId="9" xfId="0" applyNumberFormat="1" applyFont="1" applyFill="1" applyBorder="1"/>
    <xf numFmtId="4" fontId="17" fillId="6" borderId="6" xfId="1" applyNumberFormat="1" applyFont="1" applyFill="1" applyBorder="1"/>
    <xf numFmtId="4" fontId="17" fillId="6" borderId="26" xfId="1" applyNumberFormat="1" applyFont="1" applyFill="1" applyBorder="1"/>
    <xf numFmtId="181" fontId="17" fillId="6" borderId="1" xfId="1" applyNumberFormat="1" applyFont="1" applyFill="1" applyBorder="1"/>
    <xf numFmtId="3" fontId="18" fillId="6" borderId="10" xfId="1" applyNumberFormat="1" applyFont="1" applyFill="1" applyBorder="1" applyAlignment="1">
      <alignment horizontal="right"/>
    </xf>
    <xf numFmtId="3" fontId="18" fillId="6" borderId="15" xfId="1" applyNumberFormat="1" applyFont="1" applyFill="1" applyBorder="1" applyAlignment="1">
      <alignment horizontal="right"/>
    </xf>
    <xf numFmtId="181" fontId="17" fillId="5" borderId="1" xfId="4" applyNumberFormat="1" applyFont="1" applyFill="1" applyBorder="1" applyAlignment="1">
      <alignment horizontal="right"/>
    </xf>
    <xf numFmtId="3" fontId="17" fillId="5" borderId="1" xfId="4" applyNumberFormat="1" applyFont="1" applyFill="1" applyBorder="1" applyAlignment="1">
      <alignment horizontal="right"/>
    </xf>
    <xf numFmtId="164" fontId="13" fillId="10" borderId="0" xfId="0" applyNumberFormat="1" applyFont="1" applyFill="1" applyBorder="1" applyAlignment="1">
      <alignment horizontal="center"/>
    </xf>
    <xf numFmtId="167" fontId="0" fillId="0" borderId="1" xfId="0" applyNumberFormat="1" applyBorder="1"/>
    <xf numFmtId="167" fontId="17" fillId="0" borderId="1" xfId="0" applyNumberFormat="1" applyFont="1" applyBorder="1"/>
    <xf numFmtId="167" fontId="17" fillId="0" borderId="1" xfId="0" applyNumberFormat="1" applyFont="1" applyFill="1" applyBorder="1"/>
    <xf numFmtId="0" fontId="0" fillId="8" borderId="1" xfId="0" applyFill="1" applyBorder="1"/>
    <xf numFmtId="167" fontId="0" fillId="8" borderId="1" xfId="0" applyNumberFormat="1" applyFill="1" applyBorder="1"/>
    <xf numFmtId="167" fontId="17" fillId="8" borderId="1" xfId="0" applyNumberFormat="1" applyFont="1" applyFill="1" applyBorder="1"/>
    <xf numFmtId="4" fontId="0" fillId="0" borderId="1" xfId="0" applyNumberFormat="1" applyBorder="1"/>
    <xf numFmtId="4" fontId="0" fillId="8" borderId="1" xfId="0" applyNumberFormat="1" applyFill="1" applyBorder="1"/>
    <xf numFmtId="3" fontId="18" fillId="8" borderId="0" xfId="0" applyNumberFormat="1" applyFont="1" applyFill="1" applyBorder="1" applyAlignment="1">
      <alignment horizontal="center"/>
    </xf>
    <xf numFmtId="182" fontId="0" fillId="0" borderId="0" xfId="0" applyNumberFormat="1"/>
    <xf numFmtId="43" fontId="17" fillId="0" borderId="0" xfId="1" applyNumberFormat="1" applyFont="1" applyFill="1" applyBorder="1"/>
    <xf numFmtId="164" fontId="0" fillId="0" borderId="0" xfId="0" applyNumberFormat="1"/>
    <xf numFmtId="169" fontId="0" fillId="0" borderId="0" xfId="0" applyNumberFormat="1"/>
    <xf numFmtId="43" fontId="0" fillId="0" borderId="0" xfId="0" applyNumberFormat="1"/>
    <xf numFmtId="166" fontId="0" fillId="0" borderId="0" xfId="4" applyNumberFormat="1" applyFont="1"/>
    <xf numFmtId="166" fontId="17" fillId="0" borderId="0" xfId="4" applyNumberFormat="1" applyFont="1" applyFill="1"/>
    <xf numFmtId="0" fontId="0" fillId="51" borderId="0" xfId="0" applyFont="1" applyFill="1" applyBorder="1" applyAlignment="1">
      <alignment horizontal="left"/>
    </xf>
    <xf numFmtId="2" fontId="17" fillId="6" borderId="1" xfId="20" applyNumberFormat="1" applyFont="1" applyFill="1" applyBorder="1" applyAlignment="1">
      <alignment horizontal="center"/>
    </xf>
    <xf numFmtId="0" fontId="12" fillId="0" borderId="0" xfId="21" applyFont="1" applyFill="1" applyAlignment="1">
      <alignment horizontal="center"/>
    </xf>
    <xf numFmtId="1" fontId="17" fillId="6" borderId="1" xfId="20" applyNumberFormat="1" applyFont="1" applyFill="1" applyBorder="1" applyAlignment="1">
      <alignment horizontal="center"/>
    </xf>
    <xf numFmtId="0" fontId="12" fillId="54" borderId="0" xfId="21" applyFont="1" applyFill="1" applyBorder="1" applyAlignment="1">
      <alignment horizontal="center"/>
    </xf>
    <xf numFmtId="9" fontId="8" fillId="0" borderId="1" xfId="21" applyNumberFormat="1" applyFont="1" applyFill="1" applyBorder="1" applyAlignment="1">
      <alignment horizontal="center"/>
    </xf>
    <xf numFmtId="9" fontId="8" fillId="0" borderId="0" xfId="21" applyNumberFormat="1" applyFont="1" applyFill="1" applyBorder="1" applyAlignment="1">
      <alignment horizontal="center"/>
    </xf>
    <xf numFmtId="9" fontId="8" fillId="0" borderId="19" xfId="21" applyNumberFormat="1" applyFont="1" applyFill="1" applyBorder="1" applyAlignment="1">
      <alignment horizontal="center"/>
    </xf>
    <xf numFmtId="9" fontId="12" fillId="0" borderId="6" xfId="21" applyNumberFormat="1" applyFont="1" applyFill="1" applyBorder="1" applyAlignment="1">
      <alignment horizontal="center"/>
    </xf>
    <xf numFmtId="0" fontId="0" fillId="0" borderId="0" xfId="21" applyFont="1" applyFill="1" applyBorder="1" applyAlignment="1">
      <alignment horizontal="center"/>
    </xf>
    <xf numFmtId="0" fontId="8" fillId="5" borderId="0" xfId="21" applyFont="1" applyFill="1" applyBorder="1"/>
    <xf numFmtId="3" fontId="8" fillId="8" borderId="0" xfId="21" applyNumberFormat="1" applyFont="1" applyFill="1" applyBorder="1" applyAlignment="1">
      <alignment horizontal="center"/>
    </xf>
    <xf numFmtId="0" fontId="50" fillId="0" borderId="0" xfId="0" applyFont="1" applyFill="1" applyAlignment="1">
      <alignment horizontal="center"/>
    </xf>
    <xf numFmtId="0" fontId="74" fillId="51" borderId="0" xfId="0" applyFont="1" applyFill="1" applyAlignment="1">
      <alignment horizontal="left"/>
    </xf>
    <xf numFmtId="43" fontId="8" fillId="47" borderId="0" xfId="21" applyNumberFormat="1" applyFill="1"/>
    <xf numFmtId="180" fontId="17" fillId="6" borderId="1" xfId="20" applyNumberFormat="1" applyFont="1" applyFill="1" applyBorder="1" applyAlignment="1">
      <alignment horizontal="right"/>
    </xf>
    <xf numFmtId="180" fontId="17" fillId="0" borderId="0" xfId="7" applyNumberFormat="1" applyFont="1" applyBorder="1" applyAlignment="1">
      <alignment horizontal="right"/>
    </xf>
    <xf numFmtId="1" fontId="17" fillId="6" borderId="24" xfId="20" applyNumberFormat="1" applyFont="1" applyFill="1" applyBorder="1" applyAlignment="1">
      <alignment horizontal="center"/>
    </xf>
    <xf numFmtId="2" fontId="17" fillId="6" borderId="24" xfId="20" applyNumberFormat="1" applyFont="1" applyFill="1" applyBorder="1" applyAlignment="1">
      <alignment horizontal="center"/>
    </xf>
    <xf numFmtId="177" fontId="17" fillId="5" borderId="1" xfId="4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wrapText="1"/>
    </xf>
    <xf numFmtId="0" fontId="12" fillId="0" borderId="0" xfId="174" applyFont="1" applyFill="1" applyBorder="1" applyAlignment="1">
      <alignment horizontal="left"/>
    </xf>
    <xf numFmtId="0" fontId="0" fillId="52" borderId="1" xfId="0" applyFill="1" applyBorder="1"/>
    <xf numFmtId="3" fontId="18" fillId="6" borderId="1" xfId="1" applyNumberFormat="1" applyFont="1" applyFill="1" applyBorder="1"/>
    <xf numFmtId="3" fontId="18" fillId="8" borderId="1" xfId="1" applyNumberFormat="1" applyFont="1" applyFill="1" applyBorder="1"/>
    <xf numFmtId="0" fontId="0" fillId="52" borderId="45" xfId="0" applyFill="1" applyBorder="1"/>
    <xf numFmtId="175" fontId="12" fillId="52" borderId="46" xfId="174" applyNumberFormat="1" applyFont="1" applyFill="1" applyBorder="1" applyAlignment="1">
      <alignment horizontal="right"/>
    </xf>
    <xf numFmtId="175" fontId="12" fillId="52" borderId="48" xfId="174" applyNumberFormat="1" applyFont="1" applyFill="1" applyBorder="1" applyAlignment="1">
      <alignment horizontal="right"/>
    </xf>
    <xf numFmtId="175" fontId="12" fillId="8" borderId="48" xfId="174" applyNumberFormat="1" applyFont="1" applyFill="1" applyBorder="1" applyAlignment="1">
      <alignment horizontal="right"/>
    </xf>
    <xf numFmtId="3" fontId="18" fillId="8" borderId="50" xfId="1" applyNumberFormat="1" applyFont="1" applyFill="1" applyBorder="1"/>
    <xf numFmtId="175" fontId="12" fillId="8" borderId="51" xfId="174" applyNumberFormat="1" applyFont="1" applyFill="1" applyBorder="1" applyAlignment="1">
      <alignment horizontal="right"/>
    </xf>
    <xf numFmtId="0" fontId="12" fillId="51" borderId="50" xfId="174" applyFont="1" applyFill="1" applyBorder="1" applyAlignment="1">
      <alignment horizontal="right" indent="2"/>
    </xf>
    <xf numFmtId="3" fontId="18" fillId="6" borderId="50" xfId="1" applyNumberFormat="1" applyFont="1" applyFill="1" applyBorder="1"/>
    <xf numFmtId="5" fontId="12" fillId="52" borderId="46" xfId="174" applyNumberFormat="1" applyFont="1" applyFill="1" applyBorder="1" applyAlignment="1">
      <alignment horizontal="right"/>
    </xf>
    <xf numFmtId="37" fontId="12" fillId="52" borderId="48" xfId="174" applyNumberFormat="1" applyFont="1" applyFill="1" applyBorder="1" applyAlignment="1">
      <alignment horizontal="right"/>
    </xf>
    <xf numFmtId="7" fontId="12" fillId="8" borderId="48" xfId="174" applyNumberFormat="1" applyFont="1" applyFill="1" applyBorder="1" applyAlignment="1">
      <alignment horizontal="right"/>
    </xf>
    <xf numFmtId="7" fontId="12" fillId="8" borderId="51" xfId="174" applyNumberFormat="1" applyFont="1" applyFill="1" applyBorder="1" applyAlignment="1">
      <alignment horizontal="right"/>
    </xf>
    <xf numFmtId="3" fontId="18" fillId="6" borderId="45" xfId="1" applyNumberFormat="1" applyFont="1" applyFill="1" applyBorder="1"/>
    <xf numFmtId="7" fontId="18" fillId="6" borderId="46" xfId="0" applyNumberFormat="1" applyFont="1" applyFill="1" applyBorder="1" applyAlignment="1"/>
    <xf numFmtId="37" fontId="18" fillId="6" borderId="48" xfId="0" applyNumberFormat="1" applyFont="1" applyFill="1" applyBorder="1" applyAlignment="1"/>
    <xf numFmtId="7" fontId="18" fillId="8" borderId="48" xfId="0" applyNumberFormat="1" applyFont="1" applyFill="1" applyBorder="1" applyAlignment="1"/>
    <xf numFmtId="0" fontId="0" fillId="0" borderId="11" xfId="0" applyBorder="1"/>
    <xf numFmtId="0" fontId="0" fillId="0" borderId="13" xfId="0" applyBorder="1"/>
    <xf numFmtId="3" fontId="18" fillId="6" borderId="43" xfId="1" applyNumberFormat="1" applyFont="1" applyFill="1" applyBorder="1"/>
    <xf numFmtId="176" fontId="12" fillId="52" borderId="48" xfId="174" applyNumberFormat="1" applyFont="1" applyFill="1" applyBorder="1" applyAlignment="1">
      <alignment horizontal="right"/>
    </xf>
    <xf numFmtId="176" fontId="12" fillId="8" borderId="48" xfId="174" applyNumberFormat="1" applyFont="1" applyFill="1" applyBorder="1" applyAlignment="1">
      <alignment horizontal="right"/>
    </xf>
    <xf numFmtId="176" fontId="12" fillId="8" borderId="51" xfId="174" applyNumberFormat="1" applyFont="1" applyFill="1" applyBorder="1" applyAlignment="1">
      <alignment horizontal="right"/>
    </xf>
    <xf numFmtId="181" fontId="18" fillId="6" borderId="46" xfId="1" applyNumberFormat="1" applyFont="1" applyFill="1" applyBorder="1"/>
    <xf numFmtId="181" fontId="18" fillId="8" borderId="48" xfId="1" applyNumberFormat="1" applyFont="1" applyFill="1" applyBorder="1"/>
    <xf numFmtId="181" fontId="18" fillId="6" borderId="48" xfId="1" applyNumberFormat="1" applyFont="1" applyFill="1" applyBorder="1"/>
    <xf numFmtId="181" fontId="18" fillId="6" borderId="51" xfId="1" applyNumberFormat="1" applyFont="1" applyFill="1" applyBorder="1"/>
    <xf numFmtId="0" fontId="12" fillId="0" borderId="0" xfId="0" applyFont="1" applyFill="1" applyBorder="1" applyAlignment="1">
      <alignment horizontal="left"/>
    </xf>
    <xf numFmtId="7" fontId="18" fillId="8" borderId="51" xfId="0" applyNumberFormat="1" applyFont="1" applyFill="1" applyBorder="1" applyAlignment="1"/>
    <xf numFmtId="0" fontId="22" fillId="0" borderId="0" xfId="21" applyFont="1" applyAlignment="1">
      <alignment horizontal="right"/>
    </xf>
    <xf numFmtId="0" fontId="8" fillId="0" borderId="0" xfId="21" applyFill="1" applyAlignment="1">
      <alignment horizontal="right"/>
    </xf>
    <xf numFmtId="164" fontId="18" fillId="0" borderId="0" xfId="20" applyNumberFormat="1" applyFont="1" applyFill="1" applyBorder="1" applyAlignment="1">
      <alignment horizontal="right"/>
    </xf>
    <xf numFmtId="164" fontId="18" fillId="0" borderId="9" xfId="20" applyNumberFormat="1" applyFont="1" applyFill="1" applyBorder="1" applyAlignment="1">
      <alignment horizontal="right"/>
    </xf>
    <xf numFmtId="0" fontId="12" fillId="0" borderId="9" xfId="21" applyFont="1" applyFill="1" applyBorder="1" applyAlignment="1">
      <alignment horizontal="right"/>
    </xf>
    <xf numFmtId="0" fontId="17" fillId="0" borderId="0" xfId="21" applyFont="1" applyFill="1" applyBorder="1" applyAlignment="1">
      <alignment horizontal="right"/>
    </xf>
    <xf numFmtId="164" fontId="17" fillId="0" borderId="0" xfId="20" applyNumberFormat="1" applyFont="1" applyFill="1" applyBorder="1" applyAlignment="1">
      <alignment horizontal="right"/>
    </xf>
    <xf numFmtId="0" fontId="0" fillId="0" borderId="0" xfId="21" applyFont="1" applyFill="1" applyBorder="1" applyAlignment="1">
      <alignment horizontal="right" wrapText="1"/>
    </xf>
    <xf numFmtId="0" fontId="17" fillId="51" borderId="49" xfId="0" applyFont="1" applyFill="1" applyBorder="1" applyAlignment="1">
      <alignment horizontal="right"/>
    </xf>
    <xf numFmtId="0" fontId="17" fillId="51" borderId="50" xfId="0" applyFont="1" applyFill="1" applyBorder="1" applyAlignment="1">
      <alignment horizontal="right"/>
    </xf>
    <xf numFmtId="176" fontId="12" fillId="52" borderId="1" xfId="174" applyNumberFormat="1" applyFont="1" applyFill="1" applyBorder="1" applyAlignment="1">
      <alignment horizontal="right"/>
    </xf>
    <xf numFmtId="175" fontId="12" fillId="52" borderId="45" xfId="174" applyNumberFormat="1" applyFont="1" applyFill="1" applyBorder="1" applyAlignment="1">
      <alignment horizontal="right"/>
    </xf>
    <xf numFmtId="175" fontId="12" fillId="55" borderId="48" xfId="174" applyNumberFormat="1" applyFont="1" applyFill="1" applyBorder="1" applyAlignment="1">
      <alignment horizontal="right"/>
    </xf>
    <xf numFmtId="176" fontId="12" fillId="52" borderId="50" xfId="174" applyNumberFormat="1" applyFont="1" applyFill="1" applyBorder="1" applyAlignment="1">
      <alignment horizontal="right"/>
    </xf>
    <xf numFmtId="175" fontId="12" fillId="54" borderId="51" xfId="174" applyNumberFormat="1" applyFont="1" applyFill="1" applyBorder="1" applyAlignment="1">
      <alignment horizontal="right"/>
    </xf>
    <xf numFmtId="0" fontId="65" fillId="0" borderId="9" xfId="0" applyFont="1" applyBorder="1"/>
    <xf numFmtId="176" fontId="12" fillId="8" borderId="1" xfId="174" applyNumberFormat="1" applyFont="1" applyFill="1" applyBorder="1" applyAlignment="1">
      <alignment horizontal="right"/>
    </xf>
    <xf numFmtId="4" fontId="18" fillId="6" borderId="46" xfId="1" applyNumberFormat="1" applyFont="1" applyFill="1" applyBorder="1"/>
    <xf numFmtId="4" fontId="18" fillId="8" borderId="48" xfId="1" applyNumberFormat="1" applyFont="1" applyFill="1" applyBorder="1"/>
    <xf numFmtId="4" fontId="18" fillId="6" borderId="48" xfId="1" applyNumberFormat="1" applyFont="1" applyFill="1" applyBorder="1"/>
    <xf numFmtId="4" fontId="18" fillId="6" borderId="51" xfId="1" applyNumberFormat="1" applyFont="1" applyFill="1" applyBorder="1"/>
    <xf numFmtId="176" fontId="12" fillId="8" borderId="50" xfId="174" applyNumberFormat="1" applyFont="1" applyFill="1" applyBorder="1" applyAlignment="1">
      <alignment horizontal="right"/>
    </xf>
    <xf numFmtId="176" fontId="12" fillId="52" borderId="45" xfId="174" applyNumberFormat="1" applyFont="1" applyFill="1" applyBorder="1" applyAlignment="1">
      <alignment horizontal="right"/>
    </xf>
    <xf numFmtId="37" fontId="13" fillId="6" borderId="45" xfId="1" applyNumberFormat="1" applyFont="1" applyFill="1" applyBorder="1"/>
    <xf numFmtId="39" fontId="13" fillId="6" borderId="46" xfId="1" applyNumberFormat="1" applyFont="1" applyFill="1" applyBorder="1"/>
    <xf numFmtId="37" fontId="13" fillId="8" borderId="1" xfId="1" applyNumberFormat="1" applyFont="1" applyFill="1" applyBorder="1"/>
    <xf numFmtId="39" fontId="13" fillId="8" borderId="48" xfId="1" applyNumberFormat="1" applyFont="1" applyFill="1" applyBorder="1"/>
    <xf numFmtId="37" fontId="13" fillId="6" borderId="1" xfId="1" applyNumberFormat="1" applyFont="1" applyFill="1" applyBorder="1"/>
    <xf numFmtId="39" fontId="13" fillId="6" borderId="48" xfId="1" applyNumberFormat="1" applyFont="1" applyFill="1" applyBorder="1"/>
    <xf numFmtId="37" fontId="13" fillId="6" borderId="50" xfId="1" applyNumberFormat="1" applyFont="1" applyFill="1" applyBorder="1"/>
    <xf numFmtId="39" fontId="13" fillId="6" borderId="51" xfId="1" applyNumberFormat="1" applyFont="1" applyFill="1" applyBorder="1"/>
    <xf numFmtId="175" fontId="64" fillId="52" borderId="45" xfId="174" applyNumberFormat="1" applyFont="1" applyFill="1" applyBorder="1" applyAlignment="1">
      <alignment horizontal="right"/>
    </xf>
    <xf numFmtId="175" fontId="64" fillId="52" borderId="46" xfId="174" applyNumberFormat="1" applyFont="1" applyFill="1" applyBorder="1" applyAlignment="1">
      <alignment horizontal="right"/>
    </xf>
    <xf numFmtId="176" fontId="64" fillId="52" borderId="1" xfId="174" applyNumberFormat="1" applyFont="1" applyFill="1" applyBorder="1" applyAlignment="1">
      <alignment horizontal="right"/>
    </xf>
    <xf numFmtId="175" fontId="64" fillId="52" borderId="48" xfId="174" applyNumberFormat="1" applyFont="1" applyFill="1" applyBorder="1" applyAlignment="1">
      <alignment horizontal="right"/>
    </xf>
    <xf numFmtId="176" fontId="64" fillId="8" borderId="1" xfId="174" applyNumberFormat="1" applyFont="1" applyFill="1" applyBorder="1" applyAlignment="1">
      <alignment horizontal="right"/>
    </xf>
    <xf numFmtId="175" fontId="64" fillId="8" borderId="48" xfId="174" applyNumberFormat="1" applyFont="1" applyFill="1" applyBorder="1" applyAlignment="1">
      <alignment horizontal="right"/>
    </xf>
    <xf numFmtId="176" fontId="64" fillId="8" borderId="50" xfId="174" applyNumberFormat="1" applyFont="1" applyFill="1" applyBorder="1" applyAlignment="1">
      <alignment horizontal="right"/>
    </xf>
    <xf numFmtId="175" fontId="64" fillId="8" borderId="51" xfId="174" applyNumberFormat="1" applyFont="1" applyFill="1" applyBorder="1" applyAlignment="1">
      <alignment horizontal="right"/>
    </xf>
    <xf numFmtId="176" fontId="12" fillId="52" borderId="46" xfId="174" applyNumberFormat="1" applyFont="1" applyFill="1" applyBorder="1" applyAlignment="1">
      <alignment horizontal="right"/>
    </xf>
    <xf numFmtId="0" fontId="12" fillId="51" borderId="44" xfId="174" applyFont="1" applyFill="1" applyBorder="1" applyAlignment="1">
      <alignment horizontal="right"/>
    </xf>
    <xf numFmtId="0" fontId="12" fillId="8" borderId="47" xfId="174" applyFont="1" applyFill="1" applyBorder="1" applyAlignment="1">
      <alignment horizontal="right"/>
    </xf>
    <xf numFmtId="181" fontId="12" fillId="52" borderId="46" xfId="174" applyNumberFormat="1" applyFont="1" applyFill="1" applyBorder="1" applyAlignment="1">
      <alignment horizontal="right"/>
    </xf>
    <xf numFmtId="181" fontId="12" fillId="52" borderId="48" xfId="174" applyNumberFormat="1" applyFont="1" applyFill="1" applyBorder="1" applyAlignment="1">
      <alignment horizontal="right"/>
    </xf>
    <xf numFmtId="181" fontId="12" fillId="8" borderId="48" xfId="174" applyNumberFormat="1" applyFont="1" applyFill="1" applyBorder="1" applyAlignment="1">
      <alignment horizontal="right"/>
    </xf>
    <xf numFmtId="181" fontId="12" fillId="8" borderId="51" xfId="174" applyNumberFormat="1" applyFont="1" applyFill="1" applyBorder="1" applyAlignment="1">
      <alignment horizontal="right"/>
    </xf>
    <xf numFmtId="175" fontId="12" fillId="52" borderId="57" xfId="174" applyNumberFormat="1" applyFont="1" applyFill="1" applyBorder="1" applyAlignment="1">
      <alignment horizontal="right"/>
    </xf>
    <xf numFmtId="175" fontId="12" fillId="52" borderId="57" xfId="174" applyNumberFormat="1" applyFont="1" applyFill="1" applyBorder="1" applyAlignment="1"/>
    <xf numFmtId="39" fontId="18" fillId="6" borderId="46" xfId="0" applyNumberFormat="1" applyFont="1" applyFill="1" applyBorder="1"/>
    <xf numFmtId="39" fontId="18" fillId="8" borderId="48" xfId="0" applyNumberFormat="1" applyFont="1" applyFill="1" applyBorder="1"/>
    <xf numFmtId="39" fontId="18" fillId="6" borderId="48" xfId="0" applyNumberFormat="1" applyFont="1" applyFill="1" applyBorder="1"/>
    <xf numFmtId="39" fontId="18" fillId="6" borderId="51" xfId="0" applyNumberFormat="1" applyFont="1" applyFill="1" applyBorder="1"/>
    <xf numFmtId="175" fontId="12" fillId="52" borderId="48" xfId="174" applyNumberFormat="1" applyFont="1" applyFill="1" applyBorder="1" applyAlignment="1"/>
    <xf numFmtId="175" fontId="12" fillId="8" borderId="48" xfId="174" applyNumberFormat="1" applyFont="1" applyFill="1" applyBorder="1" applyAlignment="1"/>
    <xf numFmtId="175" fontId="12" fillId="8" borderId="51" xfId="174" applyNumberFormat="1" applyFont="1" applyFill="1" applyBorder="1" applyAlignment="1"/>
    <xf numFmtId="4" fontId="18" fillId="6" borderId="46" xfId="1" applyNumberFormat="1" applyFont="1" applyFill="1" applyBorder="1" applyAlignment="1">
      <alignment horizontal="right"/>
    </xf>
    <xf numFmtId="4" fontId="18" fillId="8" borderId="48" xfId="1" applyNumberFormat="1" applyFont="1" applyFill="1" applyBorder="1" applyAlignment="1">
      <alignment horizontal="right"/>
    </xf>
    <xf numFmtId="4" fontId="18" fillId="6" borderId="48" xfId="1" applyNumberFormat="1" applyFont="1" applyFill="1" applyBorder="1" applyAlignment="1">
      <alignment horizontal="right"/>
    </xf>
    <xf numFmtId="4" fontId="18" fillId="6" borderId="51" xfId="1" applyNumberFormat="1" applyFont="1" applyFill="1" applyBorder="1" applyAlignment="1">
      <alignment horizontal="right"/>
    </xf>
    <xf numFmtId="0" fontId="12" fillId="51" borderId="47" xfId="174" applyFont="1" applyFill="1" applyBorder="1" applyAlignment="1">
      <alignment horizontal="right"/>
    </xf>
    <xf numFmtId="0" fontId="12" fillId="51" borderId="49" xfId="174" applyFont="1" applyFill="1" applyBorder="1" applyAlignment="1">
      <alignment horizontal="right"/>
    </xf>
    <xf numFmtId="0" fontId="12" fillId="51" borderId="56" xfId="174" applyFont="1" applyFill="1" applyBorder="1" applyAlignment="1">
      <alignment horizontal="right"/>
    </xf>
    <xf numFmtId="0" fontId="12" fillId="0" borderId="47" xfId="174" applyFont="1" applyFill="1" applyBorder="1" applyAlignment="1">
      <alignment horizontal="right"/>
    </xf>
    <xf numFmtId="0" fontId="12" fillId="8" borderId="49" xfId="174" applyFont="1" applyFill="1" applyBorder="1" applyAlignment="1">
      <alignment horizontal="right"/>
    </xf>
    <xf numFmtId="0" fontId="12" fillId="51" borderId="44" xfId="0" applyFont="1" applyFill="1" applyBorder="1" applyAlignment="1">
      <alignment horizontal="right"/>
    </xf>
    <xf numFmtId="0" fontId="12" fillId="51" borderId="47" xfId="0" applyFont="1" applyFill="1" applyBorder="1" applyAlignment="1">
      <alignment horizontal="right"/>
    </xf>
    <xf numFmtId="0" fontId="12" fillId="8" borderId="47" xfId="0" applyFont="1" applyFill="1" applyBorder="1" applyAlignment="1">
      <alignment horizontal="right"/>
    </xf>
    <xf numFmtId="0" fontId="12" fillId="8" borderId="49" xfId="0" applyFont="1" applyFill="1" applyBorder="1" applyAlignment="1">
      <alignment horizontal="right"/>
    </xf>
    <xf numFmtId="0" fontId="8" fillId="0" borderId="0" xfId="0" applyFont="1" applyBorder="1" applyAlignment="1">
      <alignment horizontal="right"/>
    </xf>
    <xf numFmtId="164" fontId="18" fillId="0" borderId="8" xfId="1" applyNumberFormat="1" applyFont="1" applyFill="1" applyBorder="1"/>
    <xf numFmtId="37" fontId="18" fillId="0" borderId="11" xfId="229" applyNumberFormat="1" applyFont="1" applyFill="1" applyBorder="1" applyAlignment="1">
      <alignment horizontal="right" indent="1"/>
    </xf>
    <xf numFmtId="37" fontId="18" fillId="0" borderId="12" xfId="229" applyNumberFormat="1" applyFont="1" applyFill="1" applyBorder="1" applyAlignment="1">
      <alignment horizontal="right" indent="1"/>
    </xf>
    <xf numFmtId="0" fontId="8" fillId="0" borderId="0" xfId="174" applyBorder="1"/>
    <xf numFmtId="3" fontId="18" fillId="0" borderId="1" xfId="1" applyNumberFormat="1" applyFont="1" applyFill="1" applyBorder="1"/>
    <xf numFmtId="3" fontId="18" fillId="0" borderId="45" xfId="1" applyNumberFormat="1" applyFont="1" applyFill="1" applyBorder="1"/>
    <xf numFmtId="3" fontId="18" fillId="0" borderId="50" xfId="1" applyNumberFormat="1" applyFont="1" applyFill="1" applyBorder="1"/>
    <xf numFmtId="3" fontId="18" fillId="0" borderId="43" xfId="1" applyNumberFormat="1" applyFont="1" applyFill="1" applyBorder="1"/>
    <xf numFmtId="0" fontId="61" fillId="49" borderId="0" xfId="174" applyFont="1" applyFill="1" applyBorder="1" applyAlignment="1">
      <alignment horizontal="left" wrapText="1"/>
    </xf>
    <xf numFmtId="0" fontId="11" fillId="0" borderId="0" xfId="176" applyFont="1" applyFill="1" applyAlignment="1">
      <alignment horizontal="center" vertical="center"/>
    </xf>
    <xf numFmtId="0" fontId="11" fillId="50" borderId="0" xfId="176" applyFont="1" applyFill="1" applyAlignment="1">
      <alignment horizontal="center" vertical="center"/>
    </xf>
    <xf numFmtId="0" fontId="61" fillId="46" borderId="0" xfId="174" applyFont="1" applyFill="1" applyBorder="1" applyAlignment="1">
      <alignment horizontal="left" wrapText="1"/>
    </xf>
    <xf numFmtId="0" fontId="12" fillId="8" borderId="49" xfId="174" applyFont="1" applyFill="1" applyBorder="1" applyAlignment="1">
      <alignment horizontal="right"/>
    </xf>
    <xf numFmtId="0" fontId="12" fillId="8" borderId="50" xfId="174" applyFont="1" applyFill="1" applyBorder="1" applyAlignment="1">
      <alignment horizontal="right"/>
    </xf>
    <xf numFmtId="0" fontId="12" fillId="8" borderId="52" xfId="174" applyFont="1" applyFill="1" applyBorder="1" applyAlignment="1">
      <alignment horizontal="right"/>
    </xf>
    <xf numFmtId="0" fontId="12" fillId="8" borderId="6" xfId="174" applyFont="1" applyFill="1" applyBorder="1" applyAlignment="1">
      <alignment horizontal="right"/>
    </xf>
    <xf numFmtId="0" fontId="12" fillId="8" borderId="24" xfId="174" applyFont="1" applyFill="1" applyBorder="1" applyAlignment="1">
      <alignment horizontal="right"/>
    </xf>
    <xf numFmtId="0" fontId="12" fillId="51" borderId="58" xfId="174" applyFont="1" applyFill="1" applyBorder="1" applyAlignment="1">
      <alignment horizontal="right"/>
    </xf>
    <xf numFmtId="0" fontId="12" fillId="51" borderId="59" xfId="174" applyFont="1" applyFill="1" applyBorder="1" applyAlignment="1">
      <alignment horizontal="right"/>
    </xf>
    <xf numFmtId="0" fontId="12" fillId="51" borderId="60" xfId="174" applyFont="1" applyFill="1" applyBorder="1" applyAlignment="1">
      <alignment horizontal="right"/>
    </xf>
    <xf numFmtId="0" fontId="12" fillId="51" borderId="11" xfId="174" applyFont="1" applyFill="1" applyBorder="1" applyAlignment="1">
      <alignment horizontal="right"/>
    </xf>
    <xf numFmtId="0" fontId="12" fillId="51" borderId="12" xfId="174" applyFont="1" applyFill="1" applyBorder="1" applyAlignment="1">
      <alignment horizontal="right"/>
    </xf>
    <xf numFmtId="0" fontId="12" fillId="51" borderId="13" xfId="174" applyFont="1" applyFill="1" applyBorder="1" applyAlignment="1">
      <alignment horizontal="right"/>
    </xf>
    <xf numFmtId="0" fontId="12" fillId="8" borderId="47" xfId="174" applyFont="1" applyFill="1" applyBorder="1" applyAlignment="1">
      <alignment horizontal="right"/>
    </xf>
    <xf numFmtId="0" fontId="0" fillId="0" borderId="1" xfId="0" applyBorder="1" applyAlignment="1">
      <alignment horizontal="right"/>
    </xf>
    <xf numFmtId="0" fontId="12" fillId="51" borderId="47" xfId="174" applyFont="1" applyFill="1" applyBorder="1" applyAlignment="1">
      <alignment horizontal="right"/>
    </xf>
    <xf numFmtId="0" fontId="12" fillId="51" borderId="8" xfId="174" applyFont="1" applyFill="1" applyBorder="1" applyAlignment="1">
      <alignment horizontal="right"/>
    </xf>
    <xf numFmtId="0" fontId="12" fillId="51" borderId="9" xfId="174" applyFont="1" applyFill="1" applyBorder="1" applyAlignment="1">
      <alignment horizontal="right"/>
    </xf>
    <xf numFmtId="0" fontId="12" fillId="51" borderId="10" xfId="174" applyFont="1" applyFill="1" applyBorder="1" applyAlignment="1">
      <alignment horizontal="right"/>
    </xf>
    <xf numFmtId="0" fontId="12" fillId="51" borderId="44" xfId="174" applyFont="1" applyFill="1" applyBorder="1" applyAlignment="1">
      <alignment horizontal="right"/>
    </xf>
    <xf numFmtId="0" fontId="0" fillId="0" borderId="45" xfId="0" applyBorder="1" applyAlignment="1">
      <alignment horizontal="right"/>
    </xf>
    <xf numFmtId="0" fontId="0" fillId="0" borderId="50" xfId="0" applyBorder="1" applyAlignment="1">
      <alignment horizontal="right"/>
    </xf>
    <xf numFmtId="0" fontId="12" fillId="51" borderId="49" xfId="174" applyFont="1" applyFill="1" applyBorder="1" applyAlignment="1">
      <alignment horizontal="right"/>
    </xf>
    <xf numFmtId="0" fontId="12" fillId="8" borderId="1" xfId="174" applyFont="1" applyFill="1" applyBorder="1" applyAlignment="1">
      <alignment horizontal="right"/>
    </xf>
    <xf numFmtId="0" fontId="61" fillId="46" borderId="0" xfId="174" applyFont="1" applyFill="1" applyBorder="1" applyAlignment="1">
      <alignment horizontal="left" vertical="center" wrapText="1"/>
    </xf>
    <xf numFmtId="0" fontId="61" fillId="46" borderId="0" xfId="128" applyFont="1" applyFill="1" applyBorder="1" applyAlignment="1">
      <alignment horizontal="left" wrapText="1"/>
    </xf>
    <xf numFmtId="0" fontId="11" fillId="50" borderId="0" xfId="2" applyFont="1" applyFill="1" applyAlignment="1">
      <alignment horizontal="center" vertical="center"/>
    </xf>
    <xf numFmtId="0" fontId="18" fillId="0" borderId="0" xfId="128" applyFont="1" applyFill="1" applyBorder="1" applyAlignment="1">
      <alignment horizontal="center" vertical="center"/>
    </xf>
    <xf numFmtId="0" fontId="68" fillId="0" borderId="0" xfId="128" applyFont="1" applyFill="1" applyBorder="1" applyAlignment="1">
      <alignment horizontal="center" vertical="center"/>
    </xf>
    <xf numFmtId="0" fontId="12" fillId="51" borderId="8" xfId="0" applyFont="1" applyFill="1" applyBorder="1" applyAlignment="1">
      <alignment horizontal="center"/>
    </xf>
    <xf numFmtId="0" fontId="12" fillId="51" borderId="9" xfId="0" applyFont="1" applyFill="1" applyBorder="1" applyAlignment="1">
      <alignment horizontal="center"/>
    </xf>
    <xf numFmtId="0" fontId="12" fillId="51" borderId="10" xfId="0" applyFont="1" applyFill="1" applyBorder="1" applyAlignment="1">
      <alignment horizontal="center"/>
    </xf>
    <xf numFmtId="0" fontId="12" fillId="51" borderId="11" xfId="174" applyFont="1" applyFill="1" applyBorder="1" applyAlignment="1">
      <alignment horizontal="center"/>
    </xf>
    <xf numFmtId="0" fontId="12" fillId="51" borderId="12" xfId="174" applyFont="1" applyFill="1" applyBorder="1" applyAlignment="1">
      <alignment horizontal="center"/>
    </xf>
    <xf numFmtId="0" fontId="12" fillId="51" borderId="13" xfId="174" applyFont="1" applyFill="1" applyBorder="1" applyAlignment="1">
      <alignment horizontal="center"/>
    </xf>
    <xf numFmtId="0" fontId="12" fillId="51" borderId="52" xfId="174" applyFont="1" applyFill="1" applyBorder="1" applyAlignment="1">
      <alignment horizontal="right"/>
    </xf>
    <xf numFmtId="0" fontId="12" fillId="51" borderId="6" xfId="174" applyFont="1" applyFill="1" applyBorder="1" applyAlignment="1">
      <alignment horizontal="right"/>
    </xf>
    <xf numFmtId="0" fontId="12" fillId="51" borderId="24" xfId="174" applyFont="1" applyFill="1" applyBorder="1" applyAlignment="1">
      <alignment horizontal="right"/>
    </xf>
    <xf numFmtId="0" fontId="12" fillId="8" borderId="53" xfId="174" applyFont="1" applyFill="1" applyBorder="1" applyAlignment="1">
      <alignment horizontal="right"/>
    </xf>
    <xf numFmtId="0" fontId="12" fillId="8" borderId="54" xfId="174" applyFont="1" applyFill="1" applyBorder="1" applyAlignment="1">
      <alignment horizontal="right"/>
    </xf>
    <xf numFmtId="0" fontId="12" fillId="8" borderId="55" xfId="174" applyFont="1" applyFill="1" applyBorder="1" applyAlignment="1">
      <alignment horizontal="right"/>
    </xf>
    <xf numFmtId="0" fontId="12" fillId="51" borderId="53" xfId="174" applyFont="1" applyFill="1" applyBorder="1" applyAlignment="1">
      <alignment horizontal="right"/>
    </xf>
    <xf numFmtId="0" fontId="12" fillId="51" borderId="54" xfId="174" applyFont="1" applyFill="1" applyBorder="1" applyAlignment="1">
      <alignment horizontal="right"/>
    </xf>
    <xf numFmtId="0" fontId="12" fillId="51" borderId="55" xfId="174" applyFont="1" applyFill="1" applyBorder="1" applyAlignment="1">
      <alignment horizontal="right"/>
    </xf>
    <xf numFmtId="164" fontId="18" fillId="6" borderId="8" xfId="1" applyNumberFormat="1" applyFont="1" applyFill="1" applyBorder="1" applyAlignment="1">
      <alignment horizontal="center"/>
    </xf>
    <xf numFmtId="164" fontId="18" fillId="6" borderId="10" xfId="1" applyNumberFormat="1" applyFont="1" applyFill="1" applyBorder="1" applyAlignment="1">
      <alignment horizontal="center"/>
    </xf>
    <xf numFmtId="37" fontId="18" fillId="52" borderId="11" xfId="229" applyNumberFormat="1" applyFont="1" applyFill="1" applyBorder="1" applyAlignment="1">
      <alignment horizontal="center"/>
    </xf>
    <xf numFmtId="37" fontId="18" fillId="52" borderId="13" xfId="229" applyNumberFormat="1" applyFont="1" applyFill="1" applyBorder="1" applyAlignment="1">
      <alignment horizontal="center"/>
    </xf>
    <xf numFmtId="4" fontId="18" fillId="6" borderId="61" xfId="1" applyNumberFormat="1" applyFont="1" applyFill="1" applyBorder="1" applyAlignment="1">
      <alignment horizontal="right"/>
    </xf>
    <xf numFmtId="4" fontId="18" fillId="6" borderId="62" xfId="1" applyNumberFormat="1" applyFont="1" applyFill="1" applyBorder="1" applyAlignment="1">
      <alignment horizontal="right"/>
    </xf>
    <xf numFmtId="4" fontId="18" fillId="6" borderId="19" xfId="1" applyNumberFormat="1" applyFont="1" applyFill="1" applyBorder="1" applyAlignment="1">
      <alignment horizontal="right"/>
    </xf>
    <xf numFmtId="4" fontId="18" fillId="6" borderId="63" xfId="1" applyNumberFormat="1" applyFont="1" applyFill="1" applyBorder="1" applyAlignment="1">
      <alignment horizontal="right"/>
    </xf>
    <xf numFmtId="4" fontId="18" fillId="6" borderId="64" xfId="1" applyNumberFormat="1" applyFont="1" applyFill="1" applyBorder="1" applyAlignment="1">
      <alignment horizontal="right"/>
    </xf>
    <xf numFmtId="4" fontId="18" fillId="6" borderId="65" xfId="1" applyNumberFormat="1" applyFont="1" applyFill="1" applyBorder="1" applyAlignment="1">
      <alignment horizontal="right"/>
    </xf>
    <xf numFmtId="181" fontId="18" fillId="6" borderId="61" xfId="1" applyNumberFormat="1" applyFont="1" applyFill="1" applyBorder="1" applyAlignment="1">
      <alignment horizontal="right"/>
    </xf>
    <xf numFmtId="181" fontId="18" fillId="6" borderId="62" xfId="1" applyNumberFormat="1" applyFont="1" applyFill="1" applyBorder="1" applyAlignment="1">
      <alignment horizontal="right"/>
    </xf>
    <xf numFmtId="181" fontId="18" fillId="6" borderId="19" xfId="1" applyNumberFormat="1" applyFont="1" applyFill="1" applyBorder="1" applyAlignment="1">
      <alignment horizontal="right"/>
    </xf>
    <xf numFmtId="181" fontId="18" fillId="6" borderId="63" xfId="1" applyNumberFormat="1" applyFont="1" applyFill="1" applyBorder="1" applyAlignment="1">
      <alignment horizontal="right"/>
    </xf>
    <xf numFmtId="7" fontId="18" fillId="8" borderId="19" xfId="0" applyNumberFormat="1" applyFont="1" applyFill="1" applyBorder="1" applyAlignment="1">
      <alignment horizontal="right"/>
    </xf>
    <xf numFmtId="7" fontId="18" fillId="8" borderId="63" xfId="0" applyNumberFormat="1" applyFont="1" applyFill="1" applyBorder="1" applyAlignment="1">
      <alignment horizontal="right"/>
    </xf>
    <xf numFmtId="7" fontId="18" fillId="8" borderId="64" xfId="0" applyNumberFormat="1" applyFont="1" applyFill="1" applyBorder="1" applyAlignment="1">
      <alignment horizontal="right"/>
    </xf>
    <xf numFmtId="7" fontId="18" fillId="8" borderId="65" xfId="0" applyNumberFormat="1" applyFont="1" applyFill="1" applyBorder="1" applyAlignment="1">
      <alignment horizontal="right"/>
    </xf>
    <xf numFmtId="181" fontId="18" fillId="6" borderId="64" xfId="1" applyNumberFormat="1" applyFont="1" applyFill="1" applyBorder="1" applyAlignment="1">
      <alignment horizontal="right"/>
    </xf>
    <xf numFmtId="181" fontId="18" fillId="6" borderId="65" xfId="1" applyNumberFormat="1" applyFont="1" applyFill="1" applyBorder="1" applyAlignment="1">
      <alignment horizontal="right"/>
    </xf>
    <xf numFmtId="7" fontId="18" fillId="6" borderId="61" xfId="0" applyNumberFormat="1" applyFont="1" applyFill="1" applyBorder="1" applyAlignment="1">
      <alignment horizontal="right"/>
    </xf>
    <xf numFmtId="7" fontId="18" fillId="6" borderId="62" xfId="0" applyNumberFormat="1" applyFont="1" applyFill="1" applyBorder="1" applyAlignment="1">
      <alignment horizontal="right"/>
    </xf>
    <xf numFmtId="37" fontId="18" fillId="6" borderId="19" xfId="0" applyNumberFormat="1" applyFont="1" applyFill="1" applyBorder="1" applyAlignment="1">
      <alignment horizontal="right"/>
    </xf>
    <xf numFmtId="37" fontId="18" fillId="6" borderId="63" xfId="0" applyNumberFormat="1" applyFont="1" applyFill="1" applyBorder="1" applyAlignment="1">
      <alignment horizontal="right"/>
    </xf>
    <xf numFmtId="3" fontId="12" fillId="8" borderId="19" xfId="21" applyNumberFormat="1" applyFont="1" applyFill="1" applyBorder="1" applyAlignment="1">
      <alignment horizontal="center"/>
    </xf>
    <xf numFmtId="3" fontId="12" fillId="8" borderId="24" xfId="21" applyNumberFormat="1" applyFont="1" applyFill="1" applyBorder="1" applyAlignment="1">
      <alignment horizontal="center"/>
    </xf>
    <xf numFmtId="1" fontId="12" fillId="8" borderId="19" xfId="21" applyNumberFormat="1" applyFont="1" applyFill="1" applyBorder="1" applyAlignment="1">
      <alignment horizontal="center"/>
    </xf>
    <xf numFmtId="1" fontId="12" fillId="8" borderId="24" xfId="21" applyNumberFormat="1" applyFont="1" applyFill="1" applyBorder="1" applyAlignment="1">
      <alignment horizontal="center"/>
    </xf>
    <xf numFmtId="9" fontId="12" fillId="8" borderId="1" xfId="21" applyNumberFormat="1" applyFont="1" applyFill="1" applyBorder="1" applyAlignment="1">
      <alignment horizontal="center"/>
    </xf>
    <xf numFmtId="9" fontId="18" fillId="4" borderId="1" xfId="23" applyNumberFormat="1" applyFont="1" applyFill="1" applyBorder="1" applyAlignment="1">
      <alignment horizontal="center"/>
    </xf>
    <xf numFmtId="2" fontId="18" fillId="4" borderId="1" xfId="23" applyNumberFormat="1" applyFont="1" applyFill="1" applyBorder="1" applyAlignment="1">
      <alignment horizontal="center"/>
    </xf>
    <xf numFmtId="3" fontId="12" fillId="8" borderId="1" xfId="21" applyNumberFormat="1" applyFont="1" applyFill="1" applyBorder="1" applyAlignment="1">
      <alignment horizontal="center"/>
    </xf>
    <xf numFmtId="167" fontId="8" fillId="5" borderId="1" xfId="21" applyNumberFormat="1" applyFont="1" applyFill="1" applyBorder="1" applyAlignment="1">
      <alignment horizontal="center"/>
    </xf>
    <xf numFmtId="0" fontId="8" fillId="5" borderId="1" xfId="21" applyFont="1" applyFill="1" applyBorder="1" applyAlignment="1">
      <alignment horizontal="center"/>
    </xf>
    <xf numFmtId="2" fontId="8" fillId="5" borderId="1" xfId="21" applyNumberFormat="1" applyFont="1" applyFill="1" applyBorder="1" applyAlignment="1">
      <alignment horizontal="center"/>
    </xf>
    <xf numFmtId="165" fontId="17" fillId="5" borderId="1" xfId="4" applyNumberFormat="1" applyFont="1" applyFill="1" applyBorder="1" applyAlignment="1">
      <alignment horizontal="center"/>
    </xf>
    <xf numFmtId="182" fontId="17" fillId="5" borderId="1" xfId="4" applyNumberFormat="1" applyFont="1" applyFill="1" applyBorder="1" applyAlignment="1">
      <alignment horizontal="center"/>
    </xf>
    <xf numFmtId="178" fontId="8" fillId="5" borderId="1" xfId="21" applyNumberFormat="1" applyFont="1" applyFill="1" applyBorder="1" applyAlignment="1">
      <alignment horizontal="center"/>
    </xf>
    <xf numFmtId="37" fontId="17" fillId="6" borderId="1" xfId="20" applyNumberFormat="1" applyFont="1" applyFill="1" applyBorder="1" applyAlignment="1">
      <alignment horizontal="center"/>
    </xf>
    <xf numFmtId="0" fontId="18" fillId="0" borderId="0" xfId="128" applyFont="1" applyFill="1" applyBorder="1" applyAlignment="1">
      <alignment horizontal="center" vertical="center" wrapText="1"/>
    </xf>
    <xf numFmtId="0" fontId="0" fillId="51" borderId="0" xfId="0" applyFont="1" applyFill="1" applyAlignment="1">
      <alignment horizontal="left"/>
    </xf>
    <xf numFmtId="0" fontId="0" fillId="51" borderId="0" xfId="0" applyFont="1" applyFill="1" applyBorder="1" applyAlignment="1">
      <alignment horizontal="left"/>
    </xf>
    <xf numFmtId="0" fontId="12" fillId="0" borderId="0" xfId="21" applyFont="1" applyFill="1" applyAlignment="1">
      <alignment horizontal="center"/>
    </xf>
    <xf numFmtId="1" fontId="12" fillId="8" borderId="1" xfId="21" applyNumberFormat="1" applyFont="1" applyFill="1" applyBorder="1" applyAlignment="1">
      <alignment horizontal="center"/>
    </xf>
    <xf numFmtId="0" fontId="61" fillId="46" borderId="0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center"/>
    </xf>
    <xf numFmtId="3" fontId="8" fillId="46" borderId="0" xfId="21" applyNumberFormat="1" applyFont="1" applyFill="1" applyBorder="1" applyAlignment="1">
      <alignment horizontal="center"/>
    </xf>
    <xf numFmtId="183" fontId="12" fillId="51" borderId="58" xfId="174" applyNumberFormat="1" applyFont="1" applyFill="1" applyBorder="1" applyAlignment="1">
      <alignment horizontal="right"/>
    </xf>
    <xf numFmtId="183" fontId="12" fillId="51" borderId="59" xfId="174" applyNumberFormat="1" applyFont="1" applyFill="1" applyBorder="1" applyAlignment="1">
      <alignment horizontal="right"/>
    </xf>
    <xf numFmtId="183" fontId="12" fillId="51" borderId="60" xfId="174" applyNumberFormat="1" applyFont="1" applyFill="1" applyBorder="1" applyAlignment="1">
      <alignment horizontal="right"/>
    </xf>
    <xf numFmtId="2" fontId="17" fillId="6" borderId="19" xfId="20" applyNumberFormat="1" applyFont="1" applyFill="1" applyBorder="1" applyAlignment="1">
      <alignment horizontal="center"/>
    </xf>
    <xf numFmtId="2" fontId="17" fillId="6" borderId="24" xfId="20" applyNumberFormat="1" applyFont="1" applyFill="1" applyBorder="1" applyAlignment="1">
      <alignment horizontal="center"/>
    </xf>
    <xf numFmtId="0" fontId="61" fillId="49" borderId="0" xfId="0" applyFont="1" applyFill="1" applyBorder="1" applyAlignment="1">
      <alignment horizontal="left" wrapText="1"/>
    </xf>
    <xf numFmtId="183" fontId="12" fillId="51" borderId="52" xfId="174" applyNumberFormat="1" applyFont="1" applyFill="1" applyBorder="1" applyAlignment="1">
      <alignment horizontal="right"/>
    </xf>
    <xf numFmtId="183" fontId="12" fillId="51" borderId="6" xfId="174" applyNumberFormat="1" applyFont="1" applyFill="1" applyBorder="1" applyAlignment="1">
      <alignment horizontal="right"/>
    </xf>
    <xf numFmtId="183" fontId="12" fillId="51" borderId="24" xfId="174" applyNumberFormat="1" applyFont="1" applyFill="1" applyBorder="1" applyAlignment="1">
      <alignment horizontal="right"/>
    </xf>
    <xf numFmtId="183" fontId="12" fillId="8" borderId="53" xfId="174" applyNumberFormat="1" applyFont="1" applyFill="1" applyBorder="1" applyAlignment="1">
      <alignment horizontal="right"/>
    </xf>
    <xf numFmtId="183" fontId="12" fillId="8" borderId="54" xfId="174" applyNumberFormat="1" applyFont="1" applyFill="1" applyBorder="1" applyAlignment="1">
      <alignment horizontal="right"/>
    </xf>
    <xf numFmtId="183" fontId="12" fillId="8" borderId="55" xfId="174" applyNumberFormat="1" applyFont="1" applyFill="1" applyBorder="1" applyAlignment="1">
      <alignment horizontal="right"/>
    </xf>
    <xf numFmtId="183" fontId="12" fillId="51" borderId="53" xfId="174" applyNumberFormat="1" applyFont="1" applyFill="1" applyBorder="1" applyAlignment="1">
      <alignment horizontal="right"/>
    </xf>
    <xf numFmtId="183" fontId="12" fillId="51" borderId="54" xfId="174" applyNumberFormat="1" applyFont="1" applyFill="1" applyBorder="1" applyAlignment="1">
      <alignment horizontal="right"/>
    </xf>
    <xf numFmtId="183" fontId="12" fillId="51" borderId="55" xfId="174" applyNumberFormat="1" applyFont="1" applyFill="1" applyBorder="1" applyAlignment="1">
      <alignment horizontal="right"/>
    </xf>
    <xf numFmtId="183" fontId="12" fillId="8" borderId="52" xfId="174" applyNumberFormat="1" applyFont="1" applyFill="1" applyBorder="1" applyAlignment="1">
      <alignment horizontal="right"/>
    </xf>
    <xf numFmtId="183" fontId="12" fillId="8" borderId="6" xfId="174" applyNumberFormat="1" applyFont="1" applyFill="1" applyBorder="1" applyAlignment="1">
      <alignment horizontal="right"/>
    </xf>
    <xf numFmtId="183" fontId="12" fillId="8" borderId="24" xfId="174" applyNumberFormat="1" applyFont="1" applyFill="1" applyBorder="1" applyAlignment="1">
      <alignment horizontal="right"/>
    </xf>
    <xf numFmtId="0" fontId="12" fillId="51" borderId="8" xfId="0" applyFont="1" applyFill="1" applyBorder="1" applyAlignment="1">
      <alignment horizontal="right"/>
    </xf>
    <xf numFmtId="0" fontId="12" fillId="51" borderId="9" xfId="0" applyFont="1" applyFill="1" applyBorder="1" applyAlignment="1">
      <alignment horizontal="right"/>
    </xf>
    <xf numFmtId="0" fontId="12" fillId="51" borderId="10" xfId="0" applyFont="1" applyFill="1" applyBorder="1" applyAlignment="1">
      <alignment horizontal="right"/>
    </xf>
    <xf numFmtId="164" fontId="18" fillId="52" borderId="8" xfId="20" applyNumberFormat="1" applyFont="1" applyFill="1" applyBorder="1" applyAlignment="1">
      <alignment horizontal="right"/>
    </xf>
    <xf numFmtId="164" fontId="18" fillId="52" borderId="10" xfId="20" applyNumberFormat="1" applyFont="1" applyFill="1" applyBorder="1" applyAlignment="1">
      <alignment horizontal="right"/>
    </xf>
    <xf numFmtId="37" fontId="18" fillId="52" borderId="11" xfId="229" applyNumberFormat="1" applyFont="1" applyFill="1" applyBorder="1" applyAlignment="1">
      <alignment horizontal="right"/>
    </xf>
    <xf numFmtId="37" fontId="18" fillId="52" borderId="13" xfId="229" applyNumberFormat="1" applyFont="1" applyFill="1" applyBorder="1" applyAlignment="1">
      <alignment horizontal="right"/>
    </xf>
    <xf numFmtId="39" fontId="18" fillId="6" borderId="61" xfId="0" applyNumberFormat="1" applyFont="1" applyFill="1" applyBorder="1" applyAlignment="1">
      <alignment horizontal="right"/>
    </xf>
    <xf numFmtId="39" fontId="18" fillId="6" borderId="62" xfId="0" applyNumberFormat="1" applyFont="1" applyFill="1" applyBorder="1" applyAlignment="1">
      <alignment horizontal="right"/>
    </xf>
    <xf numFmtId="39" fontId="18" fillId="8" borderId="19" xfId="0" applyNumberFormat="1" applyFont="1" applyFill="1" applyBorder="1" applyAlignment="1">
      <alignment horizontal="right"/>
    </xf>
    <xf numFmtId="39" fontId="18" fillId="8" borderId="63" xfId="0" applyNumberFormat="1" applyFont="1" applyFill="1" applyBorder="1" applyAlignment="1">
      <alignment horizontal="right"/>
    </xf>
    <xf numFmtId="39" fontId="18" fillId="6" borderId="19" xfId="0" applyNumberFormat="1" applyFont="1" applyFill="1" applyBorder="1" applyAlignment="1">
      <alignment horizontal="right"/>
    </xf>
    <xf numFmtId="39" fontId="18" fillId="6" borderId="63" xfId="0" applyNumberFormat="1" applyFont="1" applyFill="1" applyBorder="1" applyAlignment="1">
      <alignment horizontal="right"/>
    </xf>
    <xf numFmtId="39" fontId="18" fillId="6" borderId="64" xfId="0" applyNumberFormat="1" applyFont="1" applyFill="1" applyBorder="1" applyAlignment="1">
      <alignment horizontal="right"/>
    </xf>
    <xf numFmtId="39" fontId="18" fillId="6" borderId="65" xfId="0" applyNumberFormat="1" applyFont="1" applyFill="1" applyBorder="1" applyAlignment="1">
      <alignment horizontal="right"/>
    </xf>
    <xf numFmtId="175" fontId="18" fillId="6" borderId="61" xfId="0" applyNumberFormat="1" applyFont="1" applyFill="1" applyBorder="1" applyAlignment="1">
      <alignment horizontal="right"/>
    </xf>
    <xf numFmtId="175" fontId="18" fillId="6" borderId="62" xfId="0" applyNumberFormat="1" applyFont="1" applyFill="1" applyBorder="1" applyAlignment="1">
      <alignment horizontal="right"/>
    </xf>
    <xf numFmtId="175" fontId="18" fillId="6" borderId="19" xfId="0" applyNumberFormat="1" applyFont="1" applyFill="1" applyBorder="1" applyAlignment="1">
      <alignment horizontal="right"/>
    </xf>
    <xf numFmtId="175" fontId="18" fillId="6" borderId="63" xfId="0" applyNumberFormat="1" applyFont="1" applyFill="1" applyBorder="1" applyAlignment="1">
      <alignment horizontal="right"/>
    </xf>
    <xf numFmtId="183" fontId="18" fillId="8" borderId="64" xfId="0" applyNumberFormat="1" applyFont="1" applyFill="1" applyBorder="1" applyAlignment="1">
      <alignment horizontal="right"/>
    </xf>
    <xf numFmtId="183" fontId="18" fillId="8" borderId="65" xfId="0" applyNumberFormat="1" applyFont="1" applyFill="1" applyBorder="1" applyAlignment="1">
      <alignment horizontal="right"/>
    </xf>
    <xf numFmtId="183" fontId="18" fillId="8" borderId="19" xfId="0" applyNumberFormat="1" applyFont="1" applyFill="1" applyBorder="1" applyAlignment="1">
      <alignment horizontal="right"/>
    </xf>
    <xf numFmtId="183" fontId="18" fillId="8" borderId="63" xfId="0" applyNumberFormat="1" applyFont="1" applyFill="1" applyBorder="1" applyAlignment="1">
      <alignment horizontal="right"/>
    </xf>
    <xf numFmtId="175" fontId="18" fillId="8" borderId="19" xfId="0" applyNumberFormat="1" applyFont="1" applyFill="1" applyBorder="1" applyAlignment="1">
      <alignment horizontal="right"/>
    </xf>
    <xf numFmtId="175" fontId="18" fillId="8" borderId="63" xfId="0" applyNumberFormat="1" applyFont="1" applyFill="1" applyBorder="1" applyAlignment="1">
      <alignment horizontal="right"/>
    </xf>
    <xf numFmtId="175" fontId="18" fillId="8" borderId="64" xfId="0" applyNumberFormat="1" applyFont="1" applyFill="1" applyBorder="1" applyAlignment="1">
      <alignment horizontal="right"/>
    </xf>
    <xf numFmtId="175" fontId="18" fillId="8" borderId="65" xfId="0" applyNumberFormat="1" applyFont="1" applyFill="1" applyBorder="1" applyAlignment="1">
      <alignment horizontal="right"/>
    </xf>
    <xf numFmtId="183" fontId="18" fillId="6" borderId="61" xfId="0" applyNumberFormat="1" applyFont="1" applyFill="1" applyBorder="1" applyAlignment="1">
      <alignment horizontal="right"/>
    </xf>
    <xf numFmtId="183" fontId="18" fillId="6" borderId="62" xfId="0" applyNumberFormat="1" applyFont="1" applyFill="1" applyBorder="1" applyAlignment="1">
      <alignment horizontal="right"/>
    </xf>
    <xf numFmtId="0" fontId="18" fillId="47" borderId="0" xfId="0" applyFont="1" applyFill="1" applyAlignment="1">
      <alignment horizontal="center"/>
    </xf>
    <xf numFmtId="0" fontId="0" fillId="15" borderId="19" xfId="0" applyFill="1" applyBorder="1" applyAlignment="1">
      <alignment horizontal="center"/>
    </xf>
    <xf numFmtId="0" fontId="0" fillId="15" borderId="6" xfId="0" applyFill="1" applyBorder="1" applyAlignment="1">
      <alignment horizontal="center"/>
    </xf>
    <xf numFmtId="0" fontId="0" fillId="15" borderId="24" xfId="0" applyFill="1" applyBorder="1" applyAlignment="1">
      <alignment horizontal="center"/>
    </xf>
    <xf numFmtId="0" fontId="0" fillId="14" borderId="23" xfId="0" applyFill="1" applyBorder="1" applyAlignment="1">
      <alignment horizontal="center"/>
    </xf>
    <xf numFmtId="0" fontId="0" fillId="14" borderId="7" xfId="0" applyFill="1" applyBorder="1" applyAlignment="1">
      <alignment horizontal="center"/>
    </xf>
    <xf numFmtId="0" fontId="0" fillId="15" borderId="23" xfId="0" applyFill="1" applyBorder="1" applyAlignment="1">
      <alignment horizontal="center"/>
    </xf>
    <xf numFmtId="0" fontId="0" fillId="15" borderId="7" xfId="0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0" fontId="0" fillId="14" borderId="19" xfId="0" applyFill="1" applyBorder="1" applyAlignment="1">
      <alignment horizontal="center"/>
    </xf>
    <xf numFmtId="0" fontId="0" fillId="14" borderId="6" xfId="0" applyFill="1" applyBorder="1" applyAlignment="1">
      <alignment horizontal="center"/>
    </xf>
    <xf numFmtId="0" fontId="0" fillId="14" borderId="24" xfId="0" applyFill="1" applyBorder="1" applyAlignment="1">
      <alignment horizontal="center"/>
    </xf>
    <xf numFmtId="0" fontId="0" fillId="15" borderId="1" xfId="0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 wrapText="1"/>
    </xf>
    <xf numFmtId="0" fontId="69" fillId="53" borderId="41" xfId="0" applyFont="1" applyFill="1" applyBorder="1" applyAlignment="1">
      <alignment horizontal="center" vertical="center" wrapText="1"/>
    </xf>
    <xf numFmtId="0" fontId="69" fillId="53" borderId="42" xfId="0" applyFont="1" applyFill="1" applyBorder="1" applyAlignment="1">
      <alignment horizontal="center" vertical="center" wrapText="1"/>
    </xf>
    <xf numFmtId="0" fontId="12" fillId="43" borderId="19" xfId="0" applyFont="1" applyFill="1" applyBorder="1" applyAlignment="1">
      <alignment horizontal="left" vertical="center"/>
    </xf>
    <xf numFmtId="0" fontId="12" fillId="43" borderId="6" xfId="0" applyFont="1" applyFill="1" applyBorder="1" applyAlignment="1">
      <alignment horizontal="left" vertical="center"/>
    </xf>
    <xf numFmtId="0" fontId="12" fillId="43" borderId="24" xfId="0" applyFont="1" applyFill="1" applyBorder="1" applyAlignment="1">
      <alignment horizontal="left" vertical="center"/>
    </xf>
  </cellXfs>
  <cellStyles count="369">
    <cellStyle name="20% - Accent1" xfId="44" builtinId="30" customBuiltin="1"/>
    <cellStyle name="20% - Accent1 2" xfId="88"/>
    <cellStyle name="20% - Accent1 3" xfId="150"/>
    <cellStyle name="20% - Accent1 4" xfId="196"/>
    <cellStyle name="20% - Accent1 5" xfId="251"/>
    <cellStyle name="20% - Accent1 6" xfId="313"/>
    <cellStyle name="20% - Accent2" xfId="47" builtinId="34" customBuiltin="1"/>
    <cellStyle name="20% - Accent2 2" xfId="91"/>
    <cellStyle name="20% - Accent2 3" xfId="153"/>
    <cellStyle name="20% - Accent2 4" xfId="199"/>
    <cellStyle name="20% - Accent2 5" xfId="254"/>
    <cellStyle name="20% - Accent2 6" xfId="316"/>
    <cellStyle name="20% - Accent3" xfId="50" builtinId="38" customBuiltin="1"/>
    <cellStyle name="20% - Accent3 2" xfId="94"/>
    <cellStyle name="20% - Accent3 3" xfId="156"/>
    <cellStyle name="20% - Accent3 4" xfId="202"/>
    <cellStyle name="20% - Accent3 5" xfId="257"/>
    <cellStyle name="20% - Accent3 6" xfId="319"/>
    <cellStyle name="20% - Accent4" xfId="54" builtinId="42" customBuiltin="1"/>
    <cellStyle name="20% - Accent4 2" xfId="98"/>
    <cellStyle name="20% - Accent4 3" xfId="160"/>
    <cellStyle name="20% - Accent4 4" xfId="206"/>
    <cellStyle name="20% - Accent4 5" xfId="261"/>
    <cellStyle name="20% - Accent4 6" xfId="323"/>
    <cellStyle name="20% - Accent5" xfId="58" builtinId="46" customBuiltin="1"/>
    <cellStyle name="20% - Accent5 2" xfId="102"/>
    <cellStyle name="20% - Accent5 3" xfId="164"/>
    <cellStyle name="20% - Accent5 4" xfId="210"/>
    <cellStyle name="20% - Accent5 5" xfId="265"/>
    <cellStyle name="20% - Accent5 6" xfId="327"/>
    <cellStyle name="20% - Accent6" xfId="62" builtinId="50" customBuiltin="1"/>
    <cellStyle name="20% - Accent6 2" xfId="106"/>
    <cellStyle name="20% - Accent6 3" xfId="168"/>
    <cellStyle name="20% - Accent6 4" xfId="214"/>
    <cellStyle name="20% - Accent6 5" xfId="269"/>
    <cellStyle name="20% - Accent6 6" xfId="331"/>
    <cellStyle name="40% - Accent1" xfId="45" builtinId="31" customBuiltin="1"/>
    <cellStyle name="40% - Accent1 2" xfId="89"/>
    <cellStyle name="40% - Accent1 3" xfId="151"/>
    <cellStyle name="40% - Accent1 4" xfId="197"/>
    <cellStyle name="40% - Accent1 5" xfId="252"/>
    <cellStyle name="40% - Accent1 6" xfId="314"/>
    <cellStyle name="40% - Accent2" xfId="48" builtinId="35" customBuiltin="1"/>
    <cellStyle name="40% - Accent2 2" xfId="92"/>
    <cellStyle name="40% - Accent2 3" xfId="154"/>
    <cellStyle name="40% - Accent2 4" xfId="200"/>
    <cellStyle name="40% - Accent2 5" xfId="255"/>
    <cellStyle name="40% - Accent2 6" xfId="317"/>
    <cellStyle name="40% - Accent3" xfId="51" builtinId="39" customBuiltin="1"/>
    <cellStyle name="40% - Accent3 2" xfId="95"/>
    <cellStyle name="40% - Accent3 3" xfId="157"/>
    <cellStyle name="40% - Accent3 4" xfId="203"/>
    <cellStyle name="40% - Accent3 5" xfId="258"/>
    <cellStyle name="40% - Accent3 6" xfId="320"/>
    <cellStyle name="40% - Accent4" xfId="55" builtinId="43" customBuiltin="1"/>
    <cellStyle name="40% - Accent4 2" xfId="99"/>
    <cellStyle name="40% - Accent4 3" xfId="161"/>
    <cellStyle name="40% - Accent4 4" xfId="207"/>
    <cellStyle name="40% - Accent4 5" xfId="262"/>
    <cellStyle name="40% - Accent4 6" xfId="324"/>
    <cellStyle name="40% - Accent5" xfId="59" builtinId="47" customBuiltin="1"/>
    <cellStyle name="40% - Accent5 2" xfId="103"/>
    <cellStyle name="40% - Accent5 3" xfId="165"/>
    <cellStyle name="40% - Accent5 4" xfId="211"/>
    <cellStyle name="40% - Accent5 5" xfId="266"/>
    <cellStyle name="40% - Accent5 6" xfId="328"/>
    <cellStyle name="40% - Accent6" xfId="63" builtinId="51" customBuiltin="1"/>
    <cellStyle name="40% - Accent6 2" xfId="107"/>
    <cellStyle name="40% - Accent6 3" xfId="169"/>
    <cellStyle name="40% - Accent6 4" xfId="215"/>
    <cellStyle name="40% - Accent6 5" xfId="270"/>
    <cellStyle name="40% - Accent6 6" xfId="332"/>
    <cellStyle name="60% - Accent1" xfId="46" builtinId="32" customBuiltin="1"/>
    <cellStyle name="60% - Accent1 2" xfId="90"/>
    <cellStyle name="60% - Accent1 3" xfId="152"/>
    <cellStyle name="60% - Accent1 4" xfId="198"/>
    <cellStyle name="60% - Accent1 5" xfId="253"/>
    <cellStyle name="60% - Accent1 6" xfId="315"/>
    <cellStyle name="60% - Accent2" xfId="49" builtinId="36" customBuiltin="1"/>
    <cellStyle name="60% - Accent2 2" xfId="93"/>
    <cellStyle name="60% - Accent2 3" xfId="155"/>
    <cellStyle name="60% - Accent2 4" xfId="201"/>
    <cellStyle name="60% - Accent2 5" xfId="256"/>
    <cellStyle name="60% - Accent2 6" xfId="318"/>
    <cellStyle name="60% - Accent3" xfId="52" builtinId="40" customBuiltin="1"/>
    <cellStyle name="60% - Accent3 2" xfId="96"/>
    <cellStyle name="60% - Accent3 3" xfId="158"/>
    <cellStyle name="60% - Accent3 4" xfId="204"/>
    <cellStyle name="60% - Accent3 5" xfId="259"/>
    <cellStyle name="60% - Accent3 6" xfId="321"/>
    <cellStyle name="60% - Accent4" xfId="56" builtinId="44" customBuiltin="1"/>
    <cellStyle name="60% - Accent4 2" xfId="100"/>
    <cellStyle name="60% - Accent4 3" xfId="162"/>
    <cellStyle name="60% - Accent4 4" xfId="208"/>
    <cellStyle name="60% - Accent4 5" xfId="263"/>
    <cellStyle name="60% - Accent4 6" xfId="325"/>
    <cellStyle name="60% - Accent5" xfId="60" builtinId="48" customBuiltin="1"/>
    <cellStyle name="60% - Accent5 2" xfId="104"/>
    <cellStyle name="60% - Accent5 3" xfId="166"/>
    <cellStyle name="60% - Accent5 4" xfId="212"/>
    <cellStyle name="60% - Accent5 5" xfId="267"/>
    <cellStyle name="60% - Accent5 6" xfId="329"/>
    <cellStyle name="60% - Accent6" xfId="64" builtinId="52" customBuiltin="1"/>
    <cellStyle name="60% - Accent6 2" xfId="108"/>
    <cellStyle name="60% - Accent6 3" xfId="170"/>
    <cellStyle name="60% - Accent6 4" xfId="216"/>
    <cellStyle name="60% - Accent6 5" xfId="271"/>
    <cellStyle name="60% - Accent6 6" xfId="333"/>
    <cellStyle name="Accent1" xfId="43" builtinId="29" customBuiltin="1"/>
    <cellStyle name="Accent1 2" xfId="13"/>
    <cellStyle name="Accent1 3" xfId="87"/>
    <cellStyle name="Accent1 4" xfId="149"/>
    <cellStyle name="Accent1 5" xfId="195"/>
    <cellStyle name="Accent1 6" xfId="250"/>
    <cellStyle name="Accent1 7" xfId="312"/>
    <cellStyle name="Accent2" xfId="2" builtinId="33" customBuiltin="1"/>
    <cellStyle name="Accent2 2" xfId="68"/>
    <cellStyle name="Accent2 2 5" xfId="121"/>
    <cellStyle name="Accent2 3" xfId="130"/>
    <cellStyle name="Accent2 4" xfId="176"/>
    <cellStyle name="Accent2 5" xfId="231"/>
    <cellStyle name="Accent2 6" xfId="292"/>
    <cellStyle name="Accent3" xfId="3" builtinId="37" customBuiltin="1"/>
    <cellStyle name="Accent3 2" xfId="69"/>
    <cellStyle name="Accent3 3" xfId="131"/>
    <cellStyle name="Accent3 4" xfId="177"/>
    <cellStyle name="Accent3 5" xfId="122"/>
    <cellStyle name="Accent3 6" xfId="232"/>
    <cellStyle name="Accent3 7" xfId="293"/>
    <cellStyle name="Accent4" xfId="53" builtinId="41" customBuiltin="1"/>
    <cellStyle name="Accent4 2" xfId="97"/>
    <cellStyle name="Accent4 3" xfId="159"/>
    <cellStyle name="Accent4 4" xfId="205"/>
    <cellStyle name="Accent4 5" xfId="260"/>
    <cellStyle name="Accent4 6" xfId="322"/>
    <cellStyle name="Accent5" xfId="57" builtinId="45" customBuiltin="1"/>
    <cellStyle name="Accent5 2" xfId="101"/>
    <cellStyle name="Accent5 3" xfId="163"/>
    <cellStyle name="Accent5 4" xfId="209"/>
    <cellStyle name="Accent5 5" xfId="264"/>
    <cellStyle name="Accent5 6" xfId="326"/>
    <cellStyle name="Accent6" xfId="61" builtinId="49" customBuiltin="1"/>
    <cellStyle name="Accent6 2" xfId="105"/>
    <cellStyle name="Accent6 3" xfId="167"/>
    <cellStyle name="Accent6 4" xfId="213"/>
    <cellStyle name="Accent6 5" xfId="268"/>
    <cellStyle name="Accent6 6" xfId="330"/>
    <cellStyle name="Bad" xfId="34" builtinId="27" customBuiltin="1"/>
    <cellStyle name="Bad 2" xfId="78"/>
    <cellStyle name="Bad 3" xfId="140"/>
    <cellStyle name="Bad 4" xfId="186"/>
    <cellStyle name="Bad 5" xfId="241"/>
    <cellStyle name="Bad 6" xfId="303"/>
    <cellStyle name="Calculation" xfId="37" builtinId="22" customBuiltin="1"/>
    <cellStyle name="Calculation 2" xfId="81"/>
    <cellStyle name="Calculation 3" xfId="143"/>
    <cellStyle name="Calculation 4" xfId="189"/>
    <cellStyle name="Calculation 5" xfId="244"/>
    <cellStyle name="Calculation 6" xfId="306"/>
    <cellStyle name="Check Cell" xfId="39" builtinId="23" customBuiltin="1"/>
    <cellStyle name="Check Cell 2" xfId="83"/>
    <cellStyle name="Check Cell 3" xfId="145"/>
    <cellStyle name="Check Cell 4" xfId="191"/>
    <cellStyle name="Check Cell 5" xfId="246"/>
    <cellStyle name="Check Cell 6" xfId="308"/>
    <cellStyle name="Comma" xfId="1" builtinId="3"/>
    <cellStyle name="Comma 2" xfId="6"/>
    <cellStyle name="Comma 3" xfId="18"/>
    <cellStyle name="Comma 4" xfId="20"/>
    <cellStyle name="Comma 5" xfId="67"/>
    <cellStyle name="Comma 6" xfId="129"/>
    <cellStyle name="Comma 7" xfId="175"/>
    <cellStyle name="Comma 8" xfId="230"/>
    <cellStyle name="Comma 9" xfId="291"/>
    <cellStyle name="Currency 2" xfId="12"/>
    <cellStyle name="dataWrappedLeftAlignStyle" xfId="10"/>
    <cellStyle name="Explanatory Text" xfId="41" builtinId="53" customBuiltin="1"/>
    <cellStyle name="Explanatory Text 2" xfId="85"/>
    <cellStyle name="Explanatory Text 3" xfId="147"/>
    <cellStyle name="Explanatory Text 4" xfId="193"/>
    <cellStyle name="Explanatory Text 5" xfId="248"/>
    <cellStyle name="Explanatory Text 6" xfId="310"/>
    <cellStyle name="Good" xfId="33" builtinId="26" customBuiltin="1"/>
    <cellStyle name="Good 2" xfId="77"/>
    <cellStyle name="Good 3" xfId="139"/>
    <cellStyle name="Good 4" xfId="185"/>
    <cellStyle name="Good 5" xfId="240"/>
    <cellStyle name="Good 6" xfId="302"/>
    <cellStyle name="Heading 1" xfId="29" builtinId="16" customBuiltin="1"/>
    <cellStyle name="Heading 1 2" xfId="73"/>
    <cellStyle name="Heading 1 3" xfId="135"/>
    <cellStyle name="Heading 1 4" xfId="181"/>
    <cellStyle name="Heading 1 5" xfId="236"/>
    <cellStyle name="Heading 1 6" xfId="298"/>
    <cellStyle name="Heading 2" xfId="30" builtinId="17" customBuiltin="1"/>
    <cellStyle name="Heading 2 2" xfId="74"/>
    <cellStyle name="Heading 2 3" xfId="136"/>
    <cellStyle name="Heading 2 4" xfId="182"/>
    <cellStyle name="Heading 2 5" xfId="237"/>
    <cellStyle name="Heading 2 6" xfId="299"/>
    <cellStyle name="Heading 3" xfId="31" builtinId="18" customBuiltin="1"/>
    <cellStyle name="Heading 3 2" xfId="75"/>
    <cellStyle name="Heading 3 3" xfId="137"/>
    <cellStyle name="Heading 3 4" xfId="183"/>
    <cellStyle name="Heading 3 5" xfId="238"/>
    <cellStyle name="Heading 3 6" xfId="300"/>
    <cellStyle name="Heading 4" xfId="32" builtinId="19" customBuiltin="1"/>
    <cellStyle name="Heading 4 2" xfId="76"/>
    <cellStyle name="Heading 4 3" xfId="138"/>
    <cellStyle name="Heading 4 4" xfId="184"/>
    <cellStyle name="Heading 4 5" xfId="239"/>
    <cellStyle name="Heading 4 6" xfId="301"/>
    <cellStyle name="Hyperlink" xfId="27" builtinId="8"/>
    <cellStyle name="Hyperlink 2" xfId="16"/>
    <cellStyle name="Hyperlink 2 2" xfId="117"/>
    <cellStyle name="Hyperlink 3" xfId="24"/>
    <cellStyle name="Hyperlink 4" xfId="297"/>
    <cellStyle name="Input" xfId="5" builtinId="20" customBuiltin="1"/>
    <cellStyle name="Input 2" xfId="71"/>
    <cellStyle name="Input 3" xfId="133"/>
    <cellStyle name="Input 4" xfId="179"/>
    <cellStyle name="Input 5" xfId="234"/>
    <cellStyle name="Input 6" xfId="295"/>
    <cellStyle name="Linked Cell" xfId="38" builtinId="24" customBuiltin="1"/>
    <cellStyle name="Linked Cell 2" xfId="82"/>
    <cellStyle name="Linked Cell 3" xfId="144"/>
    <cellStyle name="Linked Cell 4" xfId="190"/>
    <cellStyle name="Linked Cell 5" xfId="245"/>
    <cellStyle name="Linked Cell 6" xfId="307"/>
    <cellStyle name="Neutral" xfId="35" builtinId="28" customBuiltin="1"/>
    <cellStyle name="Neutral 2" xfId="14"/>
    <cellStyle name="Neutral 3" xfId="79"/>
    <cellStyle name="Neutral 4" xfId="141"/>
    <cellStyle name="Neutral 5" xfId="187"/>
    <cellStyle name="Neutral 6" xfId="242"/>
    <cellStyle name="Neutral 7" xfId="304"/>
    <cellStyle name="Normal" xfId="0" builtinId="0"/>
    <cellStyle name="Normal 10" xfId="173"/>
    <cellStyle name="Normal 10 2" xfId="277"/>
    <cellStyle name="Normal 10 2 2" xfId="357"/>
    <cellStyle name="Normal 10 3" xfId="339"/>
    <cellStyle name="Normal 11" xfId="222"/>
    <cellStyle name="Normal 11 2" xfId="283"/>
    <cellStyle name="Normal 11 2 2" xfId="363"/>
    <cellStyle name="Normal 11 3" xfId="345"/>
    <cellStyle name="Normal 12" xfId="229"/>
    <cellStyle name="Normal 13" xfId="228"/>
    <cellStyle name="Normal 13 2" xfId="351"/>
    <cellStyle name="Normal 14" xfId="289"/>
    <cellStyle name="Normal 15" xfId="290"/>
    <cellStyle name="Normal 2" xfId="7"/>
    <cellStyle name="Normal 2 2" xfId="110"/>
    <cellStyle name="Normal 3" xfId="17"/>
    <cellStyle name="Normal 3 2" xfId="125"/>
    <cellStyle name="Normal 36" xfId="123"/>
    <cellStyle name="Normal 4" xfId="21"/>
    <cellStyle name="Normal 4 2" xfId="126"/>
    <cellStyle name="Normal 5" xfId="66"/>
    <cellStyle name="Normal 6" xfId="65"/>
    <cellStyle name="Normal 6 2" xfId="109"/>
    <cellStyle name="Normal 6 2 2" xfId="172"/>
    <cellStyle name="Normal 6 2 2 2" xfId="221"/>
    <cellStyle name="Normal 6 2 2 2 2" xfId="282"/>
    <cellStyle name="Normal 6 2 2 2 2 2" xfId="362"/>
    <cellStyle name="Normal 6 2 2 2 3" xfId="344"/>
    <cellStyle name="Normal 6 2 2 3" xfId="227"/>
    <cellStyle name="Normal 6 2 2 3 2" xfId="288"/>
    <cellStyle name="Normal 6 2 2 3 2 2" xfId="368"/>
    <cellStyle name="Normal 6 2 2 3 3" xfId="350"/>
    <cellStyle name="Normal 6 2 2 4" xfId="276"/>
    <cellStyle name="Normal 6 2 2 4 2" xfId="356"/>
    <cellStyle name="Normal 6 2 2 5" xfId="338"/>
    <cellStyle name="Normal 6 2 3" xfId="218"/>
    <cellStyle name="Normal 6 2 3 2" xfId="279"/>
    <cellStyle name="Normal 6 2 3 2 2" xfId="359"/>
    <cellStyle name="Normal 6 2 3 3" xfId="341"/>
    <cellStyle name="Normal 6 2 4" xfId="224"/>
    <cellStyle name="Normal 6 2 4 2" xfId="285"/>
    <cellStyle name="Normal 6 2 4 2 2" xfId="365"/>
    <cellStyle name="Normal 6 2 4 3" xfId="347"/>
    <cellStyle name="Normal 6 2 5" xfId="273"/>
    <cellStyle name="Normal 6 2 5 2" xfId="353"/>
    <cellStyle name="Normal 6 2 6" xfId="335"/>
    <cellStyle name="Normal 6 3" xfId="171"/>
    <cellStyle name="Normal 6 3 2" xfId="220"/>
    <cellStyle name="Normal 6 3 2 2" xfId="281"/>
    <cellStyle name="Normal 6 3 2 2 2" xfId="361"/>
    <cellStyle name="Normal 6 3 2 3" xfId="343"/>
    <cellStyle name="Normal 6 3 3" xfId="226"/>
    <cellStyle name="Normal 6 3 3 2" xfId="287"/>
    <cellStyle name="Normal 6 3 3 2 2" xfId="367"/>
    <cellStyle name="Normal 6 3 3 3" xfId="349"/>
    <cellStyle name="Normal 6 3 4" xfId="275"/>
    <cellStyle name="Normal 6 3 4 2" xfId="355"/>
    <cellStyle name="Normal 6 3 5" xfId="337"/>
    <cellStyle name="Normal 6 4" xfId="217"/>
    <cellStyle name="Normal 6 4 2" xfId="278"/>
    <cellStyle name="Normal 6 4 2 2" xfId="358"/>
    <cellStyle name="Normal 6 4 3" xfId="340"/>
    <cellStyle name="Normal 6 5" xfId="223"/>
    <cellStyle name="Normal 6 5 2" xfId="284"/>
    <cellStyle name="Normal 6 5 2 2" xfId="364"/>
    <cellStyle name="Normal 6 5 3" xfId="346"/>
    <cellStyle name="Normal 6 6" xfId="272"/>
    <cellStyle name="Normal 6 6 2" xfId="352"/>
    <cellStyle name="Normal 6 7" xfId="334"/>
    <cellStyle name="Normal 7" xfId="128"/>
    <cellStyle name="Normal 8" xfId="127"/>
    <cellStyle name="Normal 8 2" xfId="219"/>
    <cellStyle name="Normal 8 2 2" xfId="280"/>
    <cellStyle name="Normal 8 2 2 2" xfId="360"/>
    <cellStyle name="Normal 8 2 3" xfId="342"/>
    <cellStyle name="Normal 8 3" xfId="225"/>
    <cellStyle name="Normal 8 3 2" xfId="286"/>
    <cellStyle name="Normal 8 3 2 2" xfId="366"/>
    <cellStyle name="Normal 8 3 3" xfId="348"/>
    <cellStyle name="Normal 8 4" xfId="274"/>
    <cellStyle name="Normal 8 4 2" xfId="354"/>
    <cellStyle name="Normal 8 5" xfId="336"/>
    <cellStyle name="Normal 9" xfId="174"/>
    <cellStyle name="Note" xfId="9" builtinId="10" customBuiltin="1"/>
    <cellStyle name="Note 2" xfId="22"/>
    <cellStyle name="Note 3" xfId="72"/>
    <cellStyle name="Note 4" xfId="134"/>
    <cellStyle name="Note 5" xfId="180"/>
    <cellStyle name="Note 6" xfId="235"/>
    <cellStyle name="Note 7" xfId="296"/>
    <cellStyle name="Output" xfId="36" builtinId="21" customBuiltin="1"/>
    <cellStyle name="Output 2" xfId="80"/>
    <cellStyle name="Output 3" xfId="142"/>
    <cellStyle name="Output 4" xfId="188"/>
    <cellStyle name="Output 5" xfId="243"/>
    <cellStyle name="Output 6" xfId="305"/>
    <cellStyle name="Percent" xfId="4" builtinId="5"/>
    <cellStyle name="Percent 2" xfId="8"/>
    <cellStyle name="Percent 21" xfId="124"/>
    <cellStyle name="Percent 3" xfId="19"/>
    <cellStyle name="Percent 4" xfId="23"/>
    <cellStyle name="Percent 5" xfId="70"/>
    <cellStyle name="Percent 6" xfId="132"/>
    <cellStyle name="Percent 7" xfId="178"/>
    <cellStyle name="Percent 8" xfId="233"/>
    <cellStyle name="Percent 9" xfId="294"/>
    <cellStyle name="RISKnormHeading" xfId="112"/>
    <cellStyle name="RISKnormLabel" xfId="113"/>
    <cellStyle name="RISKnormLabel 2" xfId="115"/>
    <cellStyle name="RISKnormTitle" xfId="111"/>
    <cellStyle name="RISKtopEdge" xfId="114"/>
    <cellStyle name="RISKtopEdge 2" xfId="116"/>
    <cellStyle name="Source Superscript" xfId="119"/>
    <cellStyle name="Source Text" xfId="25"/>
    <cellStyle name="Source Text 2" xfId="118"/>
    <cellStyle name="Title" xfId="28" builtinId="15" customBuiltin="1"/>
    <cellStyle name="Title-2" xfId="26"/>
    <cellStyle name="Title-2 2" xfId="120"/>
    <cellStyle name="titleStyle" xfId="11"/>
    <cellStyle name="TNRoman" xfId="15"/>
    <cellStyle name="Total" xfId="42" builtinId="25" customBuiltin="1"/>
    <cellStyle name="Total 2" xfId="86"/>
    <cellStyle name="Total 3" xfId="148"/>
    <cellStyle name="Total 4" xfId="194"/>
    <cellStyle name="Total 5" xfId="249"/>
    <cellStyle name="Total 6" xfId="311"/>
    <cellStyle name="Warning Text" xfId="40" builtinId="11" customBuiltin="1"/>
    <cellStyle name="Warning Text 2" xfId="84"/>
    <cellStyle name="Warning Text 3" xfId="146"/>
    <cellStyle name="Warning Text 4" xfId="192"/>
    <cellStyle name="Warning Text 5" xfId="247"/>
    <cellStyle name="Warning Text 6" xfId="309"/>
  </cellStyles>
  <dxfs count="15">
    <dxf>
      <font>
        <color theme="0" tint="-4.9989318521683403E-2"/>
      </font>
      <fill>
        <patternFill>
          <bgColor theme="0" tint="-4.9989318521683403E-2"/>
        </patternFill>
      </fill>
      <border>
        <left/>
        <right/>
        <top/>
        <bottom/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 tint="-4.9989318521683403E-2"/>
      </font>
      <fill>
        <patternFill>
          <bgColor theme="0" tint="-4.9989318521683403E-2"/>
        </patternFill>
      </fill>
      <border>
        <left/>
        <right/>
        <top/>
        <bottom/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/>
        <right/>
        <top/>
        <bottom/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/>
        <right/>
        <top/>
        <bottom/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 tint="-4.9989318521683403E-2"/>
      </font>
      <fill>
        <patternFill>
          <bgColor theme="0" tint="-4.9989318521683403E-2"/>
        </patternFill>
      </fill>
      <border>
        <left/>
        <right/>
        <top/>
        <bottom/>
        <vertical/>
        <horizontal/>
      </border>
    </dxf>
    <dxf>
      <font>
        <color theme="0"/>
      </font>
    </dxf>
  </dxfs>
  <tableStyles count="0" defaultTableStyle="TableStyleMedium9" defaultPivotStyle="PivotStyleLight16"/>
  <colors>
    <mruColors>
      <color rgb="FFFFFF66"/>
      <color rgb="FF99CC00"/>
      <color rgb="FF99CCFF"/>
      <color rgb="FF4F81BD"/>
      <color rgb="FF1F497D"/>
      <color rgb="FFC82323"/>
      <color rgb="FF7693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100853</xdr:colOff>
      <xdr:row>70</xdr:row>
      <xdr:rowOff>78440</xdr:rowOff>
    </xdr:from>
    <xdr:to>
      <xdr:col>7</xdr:col>
      <xdr:colOff>690843</xdr:colOff>
      <xdr:row>93</xdr:row>
      <xdr:rowOff>84790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39" t="29368" r="20883" b="26753"/>
        <a:stretch/>
      </xdr:blipFill>
      <xdr:spPr>
        <a:xfrm>
          <a:off x="100853" y="31421293"/>
          <a:ext cx="12277725" cy="4387850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156883</xdr:colOff>
      <xdr:row>94</xdr:row>
      <xdr:rowOff>78442</xdr:rowOff>
    </xdr:from>
    <xdr:to>
      <xdr:col>4</xdr:col>
      <xdr:colOff>747926</xdr:colOff>
      <xdr:row>146</xdr:row>
      <xdr:rowOff>180550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3" y="35993295"/>
          <a:ext cx="7740396" cy="10008108"/>
        </a:xfrm>
        <a:prstGeom prst="rect">
          <a:avLst/>
        </a:prstGeom>
      </xdr:spPr>
    </xdr:pic>
    <xdr:clientData/>
  </xdr:twoCellAnchor>
  <xdr:twoCellAnchor editAs="oneCell">
    <xdr:from>
      <xdr:col>3</xdr:col>
      <xdr:colOff>935691</xdr:colOff>
      <xdr:row>244</xdr:row>
      <xdr:rowOff>138473</xdr:rowOff>
    </xdr:from>
    <xdr:to>
      <xdr:col>7</xdr:col>
      <xdr:colOff>1215836</xdr:colOff>
      <xdr:row>260</xdr:row>
      <xdr:rowOff>138230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762" y="78474794"/>
          <a:ext cx="6131217" cy="3047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244929</xdr:colOff>
      <xdr:row>181</xdr:row>
      <xdr:rowOff>13607</xdr:rowOff>
    </xdr:from>
    <xdr:to>
      <xdr:col>5</xdr:col>
      <xdr:colOff>409858</xdr:colOff>
      <xdr:row>193</xdr:row>
      <xdr:rowOff>175226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4929" y="60470143"/>
          <a:ext cx="8628572" cy="2447619"/>
        </a:xfrm>
        <a:prstGeom prst="rect">
          <a:avLst/>
        </a:prstGeom>
      </xdr:spPr>
    </xdr:pic>
    <xdr:clientData/>
  </xdr:twoCellAnchor>
  <xdr:twoCellAnchor editAs="oneCell">
    <xdr:from>
      <xdr:col>5</xdr:col>
      <xdr:colOff>693964</xdr:colOff>
      <xdr:row>176</xdr:row>
      <xdr:rowOff>38</xdr:rowOff>
    </xdr:from>
    <xdr:to>
      <xdr:col>8</xdr:col>
      <xdr:colOff>408214</xdr:colOff>
      <xdr:row>194</xdr:row>
      <xdr:rowOff>40478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7607" y="59504074"/>
          <a:ext cx="4259036" cy="3469440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136072</xdr:colOff>
      <xdr:row>11</xdr:row>
      <xdr:rowOff>530679</xdr:rowOff>
    </xdr:from>
    <xdr:to>
      <xdr:col>34</xdr:col>
      <xdr:colOff>431371</xdr:colOff>
      <xdr:row>35</xdr:row>
      <xdr:rowOff>168132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791965" y="2816679"/>
          <a:ext cx="10704763" cy="4780953"/>
        </a:xfrm>
        <a:prstGeom prst="rect">
          <a:avLst/>
        </a:prstGeom>
      </xdr:spPr>
    </xdr:pic>
    <xdr:clientData/>
  </xdr:twoCellAnchor>
  <xdr:twoCellAnchor editAs="oneCell">
    <xdr:from>
      <xdr:col>5</xdr:col>
      <xdr:colOff>299356</xdr:colOff>
      <xdr:row>35</xdr:row>
      <xdr:rowOff>127801</xdr:rowOff>
    </xdr:from>
    <xdr:to>
      <xdr:col>8</xdr:col>
      <xdr:colOff>1537607</xdr:colOff>
      <xdr:row>37</xdr:row>
      <xdr:rowOff>102024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762999" y="6414301"/>
          <a:ext cx="5783037" cy="355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166689</xdr:colOff>
      <xdr:row>63</xdr:row>
      <xdr:rowOff>57391</xdr:rowOff>
    </xdr:from>
    <xdr:to>
      <xdr:col>3</xdr:col>
      <xdr:colOff>5334001</xdr:colOff>
      <xdr:row>79</xdr:row>
      <xdr:rowOff>180387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6595" y="12797079"/>
          <a:ext cx="5167312" cy="317099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odels\COMMUTER\COMMUTER_v20\COMMUTER_v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dels\COMMUTER\COMMUTER_v20\COMMUTER_v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indrakanti\Desktop\TC_CWW%20v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dkall\LOCALS~1\Temp\notesC4A9C8\TC_CWW%20v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8623%20-%20NJTPA_GHGRedctPln\001\Task%202\Analysis\NJTPA-GHGInv&amp;ForecastTool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ver-M"/>
      <sheetName val="Load-M"/>
      <sheetName val="MenuOps-M"/>
      <sheetName val="Utils-M"/>
      <sheetName val="WinMenu"/>
      <sheetName val="Splash"/>
      <sheetName val="Layout"/>
      <sheetName val="Status"/>
      <sheetName val="Defaults"/>
      <sheetName val="Inputs"/>
      <sheetName val="TravCalcs"/>
      <sheetName val="EmisCalcs"/>
      <sheetName val="Results"/>
      <sheetName val="ModeCht"/>
      <sheetName val="ScenarioEFs"/>
      <sheetName val="UserE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>
        <row r="95">
          <cell r="K95">
            <v>1.5</v>
          </cell>
        </row>
        <row r="103">
          <cell r="J103">
            <v>2</v>
          </cell>
          <cell r="K103">
            <v>0.28699999999999998</v>
          </cell>
        </row>
        <row r="104">
          <cell r="J104">
            <v>2.5</v>
          </cell>
          <cell r="K104">
            <v>0.192</v>
          </cell>
        </row>
        <row r="105">
          <cell r="J105">
            <v>3</v>
          </cell>
          <cell r="K105">
            <v>0.13900000000000001</v>
          </cell>
        </row>
        <row r="106">
          <cell r="J106">
            <v>3.5</v>
          </cell>
          <cell r="K106">
            <v>0.106</v>
          </cell>
        </row>
        <row r="107">
          <cell r="J107">
            <v>4</v>
          </cell>
          <cell r="K107">
            <v>8.5000000000000006E-2</v>
          </cell>
        </row>
        <row r="108">
          <cell r="J108">
            <v>4.5</v>
          </cell>
          <cell r="K108">
            <v>7.0999999999999994E-2</v>
          </cell>
        </row>
        <row r="109">
          <cell r="J109">
            <v>5</v>
          </cell>
          <cell r="K109">
            <v>0.06</v>
          </cell>
        </row>
        <row r="211">
          <cell r="AS211">
            <v>1</v>
          </cell>
          <cell r="AT211" t="str">
            <v>Large (over 2 million)</v>
          </cell>
        </row>
        <row r="212">
          <cell r="AS212">
            <v>2</v>
          </cell>
          <cell r="AT212" t="str">
            <v>Medium (750,000 to 2 million)</v>
          </cell>
        </row>
        <row r="213">
          <cell r="AS213">
            <v>3</v>
          </cell>
          <cell r="AT213" t="str">
            <v>Small (under 750,000)</v>
          </cell>
        </row>
        <row r="223">
          <cell r="AS223">
            <v>1</v>
          </cell>
          <cell r="AT223" t="str">
            <v>Area-Wide (e.g., MSA, county)</v>
          </cell>
        </row>
        <row r="224">
          <cell r="AS224">
            <v>2</v>
          </cell>
          <cell r="AT224" t="str">
            <v>Site or Employer-Based</v>
          </cell>
        </row>
      </sheetData>
      <sheetData sheetId="9">
        <row r="20">
          <cell r="I20" t="str">
            <v>Large-High.vme</v>
          </cell>
        </row>
        <row r="29">
          <cell r="I29">
            <v>1</v>
          </cell>
        </row>
        <row r="34">
          <cell r="I34">
            <v>1</v>
          </cell>
        </row>
        <row r="43">
          <cell r="I43">
            <v>1000</v>
          </cell>
        </row>
      </sheetData>
      <sheetData sheetId="10">
        <row r="49">
          <cell r="N49">
            <v>1288.8568292814202</v>
          </cell>
          <cell r="O49">
            <v>1284.8111771022213</v>
          </cell>
          <cell r="P49">
            <v>-4.0456521791988775</v>
          </cell>
          <cell r="S49">
            <v>16741.050806287432</v>
          </cell>
          <cell r="T49">
            <v>16691.854552837362</v>
          </cell>
          <cell r="U49">
            <v>-49.196253450070799</v>
          </cell>
        </row>
        <row r="55">
          <cell r="N55">
            <v>791.35809317879205</v>
          </cell>
          <cell r="O55">
            <v>788.87406274076386</v>
          </cell>
          <cell r="P55">
            <v>-2.4840304380281109</v>
          </cell>
          <cell r="S55">
            <v>10279.005195060483</v>
          </cell>
          <cell r="T55">
            <v>10248.798695442139</v>
          </cell>
          <cell r="U55">
            <v>-30.206499618343472</v>
          </cell>
        </row>
        <row r="56">
          <cell r="N56">
            <v>497.49873610262819</v>
          </cell>
          <cell r="O56">
            <v>495.93711436145747</v>
          </cell>
          <cell r="P56">
            <v>-1.5616217411707667</v>
          </cell>
          <cell r="S56">
            <v>6462.0456112269494</v>
          </cell>
          <cell r="T56">
            <v>6443.0558573952221</v>
          </cell>
          <cell r="U56">
            <v>-18.989753831727327</v>
          </cell>
        </row>
      </sheetData>
      <sheetData sheetId="11"/>
      <sheetData sheetId="12"/>
      <sheetData sheetId="13" refreshError="1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ver-M"/>
      <sheetName val="Load-M"/>
      <sheetName val="MenuOps-M"/>
      <sheetName val="Utils-M"/>
      <sheetName val="WinMenu"/>
      <sheetName val="Splash"/>
      <sheetName val="Layout"/>
      <sheetName val="Status"/>
      <sheetName val="Defaults"/>
      <sheetName val="Inputs"/>
      <sheetName val="TravCalcs"/>
      <sheetName val="EmisCalcs"/>
      <sheetName val="Results"/>
      <sheetName val="ModeCht"/>
      <sheetName val="ScenarioEFs"/>
      <sheetName val="UserE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>
        <row r="95">
          <cell r="K95">
            <v>1.5</v>
          </cell>
        </row>
        <row r="103">
          <cell r="J103">
            <v>2</v>
          </cell>
          <cell r="K103">
            <v>0.28699999999999998</v>
          </cell>
        </row>
        <row r="104">
          <cell r="J104">
            <v>2.5</v>
          </cell>
          <cell r="K104">
            <v>0.192</v>
          </cell>
        </row>
        <row r="105">
          <cell r="J105">
            <v>3</v>
          </cell>
          <cell r="K105">
            <v>0.13900000000000001</v>
          </cell>
        </row>
        <row r="106">
          <cell r="J106">
            <v>3.5</v>
          </cell>
          <cell r="K106">
            <v>0.106</v>
          </cell>
        </row>
        <row r="107">
          <cell r="J107">
            <v>4</v>
          </cell>
          <cell r="K107">
            <v>8.5000000000000006E-2</v>
          </cell>
        </row>
        <row r="108">
          <cell r="J108">
            <v>4.5</v>
          </cell>
          <cell r="K108">
            <v>7.0999999999999994E-2</v>
          </cell>
        </row>
        <row r="109">
          <cell r="J109">
            <v>5</v>
          </cell>
          <cell r="K109">
            <v>0.06</v>
          </cell>
        </row>
        <row r="211">
          <cell r="AS211">
            <v>1</v>
          </cell>
          <cell r="AT211" t="str">
            <v>Large (over 2 million)</v>
          </cell>
        </row>
        <row r="212">
          <cell r="AS212">
            <v>2</v>
          </cell>
          <cell r="AT212" t="str">
            <v>Medium (750,000 to 2 million)</v>
          </cell>
        </row>
        <row r="213">
          <cell r="AS213">
            <v>3</v>
          </cell>
          <cell r="AT213" t="str">
            <v>Small (under 750,000)</v>
          </cell>
        </row>
        <row r="223">
          <cell r="AS223">
            <v>1</v>
          </cell>
          <cell r="AT223" t="str">
            <v>Area-Wide (e.g., MSA, county)</v>
          </cell>
        </row>
        <row r="224">
          <cell r="AS224">
            <v>2</v>
          </cell>
          <cell r="AT224" t="str">
            <v>Site or Employer-Based</v>
          </cell>
        </row>
      </sheetData>
      <sheetData sheetId="9">
        <row r="20">
          <cell r="I20" t="str">
            <v>Large-High.vme</v>
          </cell>
        </row>
        <row r="29">
          <cell r="I29">
            <v>1</v>
          </cell>
        </row>
        <row r="34">
          <cell r="I34">
            <v>1</v>
          </cell>
        </row>
        <row r="43">
          <cell r="I43">
            <v>1000</v>
          </cell>
        </row>
      </sheetData>
      <sheetData sheetId="10">
        <row r="49">
          <cell r="N49">
            <v>1288.8568292814202</v>
          </cell>
          <cell r="O49">
            <v>1284.8111771022213</v>
          </cell>
          <cell r="P49">
            <v>-4.0456521791988775</v>
          </cell>
          <cell r="S49">
            <v>16741.050806287432</v>
          </cell>
          <cell r="T49">
            <v>16691.854552837362</v>
          </cell>
          <cell r="U49">
            <v>-49.196253450070799</v>
          </cell>
        </row>
        <row r="55">
          <cell r="N55">
            <v>791.35809317879205</v>
          </cell>
          <cell r="O55">
            <v>788.87406274076386</v>
          </cell>
          <cell r="P55">
            <v>-2.4840304380281109</v>
          </cell>
          <cell r="S55">
            <v>10279.005195060483</v>
          </cell>
          <cell r="T55">
            <v>10248.798695442139</v>
          </cell>
          <cell r="U55">
            <v>-30.206499618343472</v>
          </cell>
        </row>
        <row r="56">
          <cell r="N56">
            <v>497.49873610262819</v>
          </cell>
          <cell r="O56">
            <v>495.93711436145747</v>
          </cell>
          <cell r="P56">
            <v>-1.5616217411707667</v>
          </cell>
          <cell r="S56">
            <v>6462.0456112269494</v>
          </cell>
          <cell r="T56">
            <v>6443.0558573952221</v>
          </cell>
          <cell r="U56">
            <v>-18.989753831727327</v>
          </cell>
        </row>
      </sheetData>
      <sheetData sheetId="11"/>
      <sheetData sheetId="12"/>
      <sheetData sheetId="13" refreshError="1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Employment stats"/>
      <sheetName val="research"/>
      <sheetName val="Moving Cooler unit impacts"/>
      <sheetName val="Telework"/>
      <sheetName val="Compressed Work Week"/>
    </sheetNames>
    <sheetDataSet>
      <sheetData sheetId="0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Employment stats"/>
      <sheetName val="research"/>
      <sheetName val="Moving Cooler unit impacts"/>
      <sheetName val="Telework"/>
      <sheetName val="Compressed Work Week"/>
    </sheetNames>
    <sheetDataSet>
      <sheetData sheetId="0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UserAssumptions"/>
      <sheetName val="Outputs"/>
      <sheetName val="Summary"/>
      <sheetName val="I-rateperdistance_unadj"/>
      <sheetName val="I-AgeDistribution"/>
      <sheetName val="I-VehicleWeights"/>
      <sheetName val="C-Motorcycles(1)"/>
      <sheetName val="C-PassCars(2)"/>
      <sheetName val="C-LightTrucks(31)"/>
      <sheetName val="C-LightTrucks(32)"/>
      <sheetName val="C-Buses(4)"/>
      <sheetName val="C-SingleUnitTrucks(5)"/>
      <sheetName val="C-CombTrucks(6)"/>
      <sheetName val="C-AdjFactors"/>
      <sheetName val="C-rateperdistance_adjusted"/>
    </sheetNames>
    <sheetDataSet>
      <sheetData sheetId="0"/>
      <sheetData sheetId="1">
        <row r="2">
          <cell r="C2" t="str">
            <v>Baseline</v>
          </cell>
        </row>
        <row r="3">
          <cell r="C3" t="str">
            <v>AltBaselineLDV</v>
          </cell>
        </row>
        <row r="4">
          <cell r="C4" t="str">
            <v>Custom 1</v>
          </cell>
        </row>
      </sheetData>
      <sheetData sheetId="2"/>
      <sheetData sheetId="3">
        <row r="10">
          <cell r="R10">
            <v>4.6129624845241045E-2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0">
          <cell r="R10">
            <v>4.6129624845241045E-2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://www.nctr.usf.edu/pdf/527-09.pdf%20%5bpage%2026%5d" TargetMode="External"/><Relationship Id="rId7" Type="http://schemas.openxmlformats.org/officeDocument/2006/relationships/printerSettings" Target="../printerSettings/printerSettings15.bin"/><Relationship Id="rId2" Type="http://schemas.openxmlformats.org/officeDocument/2006/relationships/hyperlink" Target="http://www.cutr.usf.edu/research/propensity.PDF" TargetMode="External"/><Relationship Id="rId1" Type="http://schemas.openxmlformats.org/officeDocument/2006/relationships/hyperlink" Target="http://www.travelbehavior.us/Nancy-pdfs/Mode%20Share.pdf" TargetMode="External"/><Relationship Id="rId6" Type="http://schemas.openxmlformats.org/officeDocument/2006/relationships/hyperlink" Target="http://www.epa.gov/otaq/stateresources/policy/420r11025.pdf" TargetMode="External"/><Relationship Id="rId5" Type="http://schemas.openxmlformats.org/officeDocument/2006/relationships/hyperlink" Target="http://www.nhtsa.gov/staticfiles/nti/pdf/811841b.pdf" TargetMode="External"/><Relationship Id="rId4" Type="http://schemas.openxmlformats.org/officeDocument/2006/relationships/hyperlink" Target="http://www.its.ucla.edu/research/EPIC/Appendix%20A.pdf%20%5bpage%208%5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108"/>
  <sheetViews>
    <sheetView showGridLines="0" tabSelected="1" zoomScale="85" zoomScaleNormal="85" workbookViewId="0">
      <selection sqref="A1:H87"/>
    </sheetView>
  </sheetViews>
  <sheetFormatPr defaultRowHeight="15" x14ac:dyDescent="0.25"/>
  <cols>
    <col min="1" max="1" width="2.28515625" style="165" customWidth="1"/>
    <col min="2" max="2" width="2" style="165" customWidth="1"/>
    <col min="3" max="3" width="69.7109375" style="351" customWidth="1"/>
    <col min="4" max="4" width="15.28515625" style="165" customWidth="1"/>
    <col min="5" max="5" width="14.5703125" style="165" customWidth="1"/>
    <col min="6" max="6" width="24.28515625" style="165" bestFit="1" customWidth="1"/>
    <col min="7" max="7" width="2.28515625" style="165" customWidth="1"/>
    <col min="8" max="8" width="2.140625" style="165" customWidth="1"/>
    <col min="9" max="9" width="35.7109375" style="371" bestFit="1" customWidth="1"/>
    <col min="10" max="11" width="10.140625" style="371" customWidth="1"/>
    <col min="12" max="12" width="10" style="371" customWidth="1"/>
    <col min="13" max="15" width="9.140625" style="371"/>
    <col min="16" max="16" width="9.7109375" style="371" bestFit="1" customWidth="1"/>
    <col min="17" max="24" width="9.140625" style="371"/>
    <col min="25" max="25" width="9.140625" style="206"/>
    <col min="26" max="27" width="9.140625" style="165"/>
    <col min="28" max="28" width="20.42578125" style="165" bestFit="1" customWidth="1"/>
    <col min="29" max="16384" width="9.140625" style="165"/>
  </cols>
  <sheetData>
    <row r="1" spans="1:28" x14ac:dyDescent="0.25">
      <c r="A1" s="368"/>
      <c r="B1" s="368"/>
      <c r="C1" s="368"/>
      <c r="D1" s="368"/>
      <c r="E1" s="368"/>
      <c r="F1" s="368"/>
      <c r="G1" s="368"/>
      <c r="H1" s="368"/>
    </row>
    <row r="2" spans="1:28" ht="10.5" customHeight="1" x14ac:dyDescent="0.25">
      <c r="A2" s="368"/>
      <c r="B2" s="367"/>
      <c r="C2" s="888"/>
      <c r="D2" s="888"/>
      <c r="E2" s="888"/>
      <c r="F2" s="888"/>
      <c r="G2" s="367"/>
      <c r="H2" s="368"/>
    </row>
    <row r="3" spans="1:28" ht="26.25" x14ac:dyDescent="0.25">
      <c r="A3" s="368"/>
      <c r="B3" s="171"/>
      <c r="C3" s="889" t="s">
        <v>381</v>
      </c>
      <c r="D3" s="889"/>
      <c r="E3" s="889"/>
      <c r="F3" s="889"/>
      <c r="G3" s="237"/>
      <c r="H3" s="368"/>
    </row>
    <row r="4" spans="1:28" x14ac:dyDescent="0.25">
      <c r="A4" s="368"/>
      <c r="B4" s="171"/>
      <c r="C4" s="3"/>
      <c r="D4" s="171"/>
      <c r="E4" s="171"/>
      <c r="F4" s="171"/>
      <c r="G4" s="172"/>
      <c r="H4" s="368"/>
      <c r="AB4" s="338"/>
    </row>
    <row r="5" spans="1:28" ht="15.75" x14ac:dyDescent="0.25">
      <c r="A5" s="368"/>
      <c r="B5" s="171"/>
      <c r="C5" s="890" t="s">
        <v>321</v>
      </c>
      <c r="D5" s="890"/>
      <c r="E5" s="890"/>
      <c r="F5" s="890"/>
      <c r="G5" s="136"/>
      <c r="H5" s="368"/>
      <c r="AB5" s="338"/>
    </row>
    <row r="6" spans="1:28" ht="15.75" x14ac:dyDescent="0.25">
      <c r="A6" s="368"/>
      <c r="B6" s="171"/>
      <c r="C6" s="355" t="s">
        <v>324</v>
      </c>
      <c r="D6" s="357"/>
      <c r="E6" s="359"/>
      <c r="F6" s="355" t="s">
        <v>326</v>
      </c>
      <c r="G6" s="458"/>
      <c r="H6" s="368"/>
      <c r="AB6" s="338"/>
    </row>
    <row r="7" spans="1:28" x14ac:dyDescent="0.25">
      <c r="A7" s="368"/>
      <c r="B7" s="171"/>
      <c r="C7" s="227" t="s">
        <v>120</v>
      </c>
      <c r="D7" s="70">
        <v>2015</v>
      </c>
      <c r="E7" s="70">
        <v>2025</v>
      </c>
      <c r="F7" s="70">
        <v>2020</v>
      </c>
      <c r="G7" s="12"/>
      <c r="H7" s="368"/>
      <c r="AB7" s="338"/>
    </row>
    <row r="8" spans="1:28" x14ac:dyDescent="0.25">
      <c r="A8" s="368"/>
      <c r="B8" s="171"/>
      <c r="C8" s="204" t="s">
        <v>387</v>
      </c>
      <c r="D8" s="37"/>
      <c r="E8" s="37"/>
      <c r="F8" s="37">
        <v>80</v>
      </c>
      <c r="G8" s="344"/>
      <c r="H8" s="368"/>
      <c r="AB8" s="338"/>
    </row>
    <row r="9" spans="1:28" x14ac:dyDescent="0.25">
      <c r="A9" s="368"/>
      <c r="B9" s="462"/>
      <c r="C9" s="204" t="s">
        <v>521</v>
      </c>
      <c r="D9" s="37"/>
      <c r="E9" s="37"/>
      <c r="F9" s="37"/>
      <c r="G9" s="344"/>
      <c r="H9" s="368"/>
      <c r="AB9" s="338"/>
    </row>
    <row r="10" spans="1:28" x14ac:dyDescent="0.25">
      <c r="A10" s="368"/>
      <c r="B10" s="171"/>
      <c r="C10" s="204" t="s">
        <v>398</v>
      </c>
      <c r="D10" s="37"/>
      <c r="E10" s="37"/>
      <c r="F10" s="37">
        <v>3500</v>
      </c>
      <c r="G10" s="344"/>
      <c r="H10" s="368"/>
      <c r="AB10" s="338"/>
    </row>
    <row r="11" spans="1:28" x14ac:dyDescent="0.25">
      <c r="A11" s="368"/>
      <c r="B11" s="171"/>
      <c r="C11" s="188" t="s">
        <v>380</v>
      </c>
      <c r="D11" s="461"/>
      <c r="E11" s="461"/>
      <c r="F11" s="461">
        <v>0.02</v>
      </c>
      <c r="G11" s="344"/>
      <c r="H11" s="368"/>
      <c r="AB11" s="338"/>
    </row>
    <row r="12" spans="1:28" x14ac:dyDescent="0.25">
      <c r="A12" s="368"/>
      <c r="B12" s="462"/>
      <c r="C12" s="188" t="s">
        <v>383</v>
      </c>
      <c r="D12" s="39"/>
      <c r="E12" s="39"/>
      <c r="F12" s="39" t="s">
        <v>32</v>
      </c>
      <c r="G12" s="245"/>
      <c r="H12" s="368"/>
    </row>
    <row r="13" spans="1:28" x14ac:dyDescent="0.25">
      <c r="A13" s="368"/>
      <c r="B13" s="171"/>
      <c r="C13" s="188" t="s">
        <v>389</v>
      </c>
      <c r="D13" s="39"/>
      <c r="E13" s="39"/>
      <c r="F13" s="39">
        <v>5</v>
      </c>
      <c r="G13" s="324"/>
      <c r="H13" s="368"/>
    </row>
    <row r="14" spans="1:28" x14ac:dyDescent="0.25">
      <c r="A14" s="368"/>
      <c r="B14" s="462"/>
      <c r="C14" s="336"/>
      <c r="D14" s="324"/>
      <c r="E14" s="324"/>
      <c r="F14" s="324"/>
      <c r="G14" s="324"/>
      <c r="H14" s="368"/>
    </row>
    <row r="15" spans="1:28" ht="15.75" x14ac:dyDescent="0.25">
      <c r="A15" s="368"/>
      <c r="B15" s="171"/>
      <c r="C15" s="890" t="s">
        <v>386</v>
      </c>
      <c r="D15" s="890"/>
      <c r="E15" s="890"/>
      <c r="F15" s="890"/>
      <c r="G15" s="7"/>
      <c r="H15" s="368"/>
      <c r="AB15" s="338"/>
    </row>
    <row r="16" spans="1:28" x14ac:dyDescent="0.25">
      <c r="A16" s="368"/>
      <c r="B16" s="171"/>
      <c r="C16" s="355" t="s">
        <v>1</v>
      </c>
      <c r="D16" s="173"/>
      <c r="E16" s="173"/>
      <c r="F16" s="355" t="s">
        <v>332</v>
      </c>
      <c r="G16" s="173"/>
      <c r="H16" s="368"/>
      <c r="AB16" s="338"/>
    </row>
    <row r="17" spans="1:28" x14ac:dyDescent="0.25">
      <c r="A17" s="368"/>
      <c r="B17" s="171"/>
      <c r="C17" s="464" t="s">
        <v>65</v>
      </c>
      <c r="D17" s="460"/>
      <c r="E17" s="460"/>
      <c r="F17" s="460">
        <v>10</v>
      </c>
      <c r="G17" s="330"/>
      <c r="H17" s="368"/>
      <c r="AB17" s="338"/>
    </row>
    <row r="18" spans="1:28" x14ac:dyDescent="0.25">
      <c r="A18" s="368"/>
      <c r="B18" s="171"/>
      <c r="C18" s="196" t="s">
        <v>397</v>
      </c>
      <c r="D18" s="460"/>
      <c r="E18" s="460"/>
      <c r="F18" s="460">
        <v>250</v>
      </c>
      <c r="G18" s="330"/>
      <c r="H18" s="368"/>
      <c r="AB18" s="338"/>
    </row>
    <row r="19" spans="1:28" x14ac:dyDescent="0.25">
      <c r="A19" s="368"/>
      <c r="B19" s="462"/>
      <c r="C19" s="196" t="s">
        <v>483</v>
      </c>
      <c r="D19" s="460"/>
      <c r="E19" s="460"/>
      <c r="F19" s="45">
        <v>0.26750000000000002</v>
      </c>
      <c r="G19" s="330"/>
      <c r="H19" s="368"/>
      <c r="AB19" s="338"/>
    </row>
    <row r="20" spans="1:28" x14ac:dyDescent="0.25">
      <c r="A20" s="368"/>
      <c r="B20" s="462"/>
      <c r="C20" s="196" t="s">
        <v>484</v>
      </c>
      <c r="D20" s="460"/>
      <c r="E20" s="460"/>
      <c r="F20" s="45">
        <v>0.315</v>
      </c>
      <c r="G20" s="330"/>
      <c r="H20" s="368"/>
      <c r="AB20" s="338"/>
    </row>
    <row r="21" spans="1:28" x14ac:dyDescent="0.25">
      <c r="A21" s="368"/>
      <c r="B21" s="462"/>
      <c r="C21" s="312" t="s">
        <v>2</v>
      </c>
      <c r="D21" s="350"/>
      <c r="E21" s="350"/>
      <c r="F21" s="350"/>
      <c r="G21" s="330"/>
      <c r="H21" s="368"/>
      <c r="AB21" s="338"/>
    </row>
    <row r="22" spans="1:28" x14ac:dyDescent="0.25">
      <c r="A22" s="368"/>
      <c r="B22" s="462"/>
      <c r="C22" s="193" t="s">
        <v>621</v>
      </c>
      <c r="D22" s="465">
        <f>'2015ER'!AG4</f>
        <v>3544.7317355931123</v>
      </c>
      <c r="E22" s="465">
        <f>'2025ER'!AG4</f>
        <v>2753.9732713183676</v>
      </c>
      <c r="F22" s="637">
        <f>TREND(D22:E22,$D$7:$E$7,$F$7)</f>
        <v>3149.3525034557388</v>
      </c>
      <c r="G22" s="330"/>
      <c r="H22" s="368"/>
      <c r="AB22" s="338"/>
    </row>
    <row r="23" spans="1:28" x14ac:dyDescent="0.25">
      <c r="A23" s="368"/>
      <c r="B23" s="462"/>
      <c r="C23" s="193" t="s">
        <v>390</v>
      </c>
      <c r="D23" s="465">
        <f>'2015ER'!AG5</f>
        <v>1.5994820236445826</v>
      </c>
      <c r="E23" s="465">
        <f>'2025ER'!AG5</f>
        <v>0.35030066832913132</v>
      </c>
      <c r="F23" s="466">
        <f t="shared" ref="F23:F35" si="0">TREND(D23:E23,$D$7:$E$7,$F$7)</f>
        <v>0.97489134598686178</v>
      </c>
      <c r="G23" s="330"/>
      <c r="H23" s="368"/>
      <c r="AB23" s="338"/>
    </row>
    <row r="24" spans="1:28" x14ac:dyDescent="0.25">
      <c r="A24" s="368"/>
      <c r="B24" s="462"/>
      <c r="C24" s="193" t="s">
        <v>220</v>
      </c>
      <c r="D24" s="465">
        <f>'2015ER'!AG6</f>
        <v>6.7381205742655201E-2</v>
      </c>
      <c r="E24" s="465">
        <f>'2025ER'!AG6</f>
        <v>4.4825042632683533E-2</v>
      </c>
      <c r="F24" s="466">
        <f t="shared" si="0"/>
        <v>5.6103124187669273E-2</v>
      </c>
      <c r="G24" s="330"/>
      <c r="H24" s="368"/>
      <c r="K24" s="495"/>
      <c r="L24" s="496"/>
    </row>
    <row r="25" spans="1:28" x14ac:dyDescent="0.25">
      <c r="A25" s="368"/>
      <c r="B25" s="462"/>
      <c r="C25" s="193" t="s">
        <v>391</v>
      </c>
      <c r="D25" s="465">
        <f>'2015ER'!AG7</f>
        <v>3.0974722428626738</v>
      </c>
      <c r="E25" s="465">
        <f>'2025ER'!AG7</f>
        <v>0.6442430103564446</v>
      </c>
      <c r="F25" s="466">
        <f t="shared" si="0"/>
        <v>1.8708576266095633</v>
      </c>
      <c r="G25" s="330"/>
      <c r="H25" s="368"/>
      <c r="K25" s="495"/>
      <c r="L25" s="496"/>
    </row>
    <row r="26" spans="1:28" x14ac:dyDescent="0.25">
      <c r="A26" s="368"/>
      <c r="B26" s="462"/>
      <c r="C26" s="193" t="s">
        <v>392</v>
      </c>
      <c r="D26" s="465">
        <f>'2015ER'!AG8</f>
        <v>3.4133004650001109</v>
      </c>
      <c r="E26" s="465">
        <f>'2025ER'!AG8</f>
        <v>1.3347788591030429</v>
      </c>
      <c r="F26" s="466">
        <f t="shared" si="0"/>
        <v>2.3740396620515867</v>
      </c>
      <c r="G26" s="330"/>
      <c r="H26" s="368"/>
      <c r="L26" s="497"/>
      <c r="M26" s="498"/>
    </row>
    <row r="27" spans="1:28" x14ac:dyDescent="0.25">
      <c r="A27" s="368"/>
      <c r="B27" s="724"/>
      <c r="C27" s="193" t="s">
        <v>590</v>
      </c>
      <c r="D27" s="705">
        <f>'2015ER'!AG9</f>
        <v>6.9972905740586164E-2</v>
      </c>
      <c r="E27" s="705">
        <f>'2025ER'!AG9</f>
        <v>1.8676355513173839E-2</v>
      </c>
      <c r="F27" s="466">
        <f t="shared" si="0"/>
        <v>4.4324630626880079E-2</v>
      </c>
      <c r="G27" s="330"/>
      <c r="H27" s="368"/>
      <c r="L27" s="497"/>
      <c r="M27" s="498"/>
    </row>
    <row r="28" spans="1:28" x14ac:dyDescent="0.25">
      <c r="A28" s="368"/>
      <c r="B28" s="724"/>
      <c r="C28" s="193" t="s">
        <v>591</v>
      </c>
      <c r="D28" s="465">
        <f>'2015ER'!AG10</f>
        <v>25.39188850897478</v>
      </c>
      <c r="E28" s="465">
        <f>'2025ER'!AG10</f>
        <v>5.9827421021261857</v>
      </c>
      <c r="F28" s="466">
        <f t="shared" si="0"/>
        <v>15.687315305550328</v>
      </c>
      <c r="G28" s="330"/>
      <c r="H28" s="368"/>
    </row>
    <row r="29" spans="1:28" x14ac:dyDescent="0.25">
      <c r="A29" s="368"/>
      <c r="B29" s="462"/>
      <c r="C29" s="193" t="s">
        <v>640</v>
      </c>
      <c r="D29" s="467">
        <f>'2015ER'!AV4</f>
        <v>7701.2468158869069</v>
      </c>
      <c r="E29" s="467">
        <f>'2025ER'!AV4</f>
        <v>7457.3753954897356</v>
      </c>
      <c r="F29" s="637">
        <f t="shared" si="0"/>
        <v>7579.3111056883208</v>
      </c>
      <c r="G29" s="330"/>
      <c r="H29" s="368"/>
      <c r="K29" s="495"/>
      <c r="L29" s="496"/>
      <c r="M29" s="496"/>
      <c r="N29" s="496"/>
      <c r="O29" s="499"/>
      <c r="P29" s="496"/>
      <c r="Q29" s="496"/>
      <c r="R29" s="496"/>
      <c r="S29" s="496"/>
      <c r="T29" s="496"/>
      <c r="U29" s="496"/>
      <c r="V29" s="496"/>
    </row>
    <row r="30" spans="1:28" x14ac:dyDescent="0.25">
      <c r="A30" s="368"/>
      <c r="B30" s="462"/>
      <c r="C30" s="193" t="s">
        <v>393</v>
      </c>
      <c r="D30" s="467">
        <f>'2015ER'!AV5</f>
        <v>63.977940800482273</v>
      </c>
      <c r="E30" s="467">
        <f>'2025ER'!AV5</f>
        <v>25.376077768462455</v>
      </c>
      <c r="F30" s="466">
        <f t="shared" si="0"/>
        <v>44.677009284472661</v>
      </c>
      <c r="G30" s="330"/>
      <c r="H30" s="368"/>
      <c r="I30" s="500"/>
      <c r="K30" s="495"/>
      <c r="L30" s="501"/>
      <c r="M30" s="495"/>
      <c r="N30" s="496"/>
      <c r="O30" s="496"/>
      <c r="P30" s="495"/>
      <c r="Q30" s="495"/>
      <c r="R30" s="501"/>
      <c r="S30" s="495"/>
      <c r="T30" s="496"/>
      <c r="U30" s="496"/>
      <c r="V30" s="496"/>
    </row>
    <row r="31" spans="1:28" x14ac:dyDescent="0.25">
      <c r="A31" s="368"/>
      <c r="B31" s="462"/>
      <c r="C31" s="193" t="s">
        <v>394</v>
      </c>
      <c r="D31" s="467">
        <f>'2015ER'!AV6</f>
        <v>4.3247781712366908</v>
      </c>
      <c r="E31" s="467">
        <f>'2025ER'!AV6</f>
        <v>1.7042063606007158</v>
      </c>
      <c r="F31" s="466">
        <f t="shared" si="0"/>
        <v>3.0144922659186477</v>
      </c>
      <c r="G31" s="330"/>
      <c r="H31" s="368"/>
      <c r="J31" s="495"/>
      <c r="K31" s="496"/>
      <c r="L31" s="496"/>
      <c r="M31" s="496"/>
      <c r="N31" s="496"/>
      <c r="O31" s="495"/>
      <c r="P31" s="495"/>
      <c r="Q31" s="496"/>
      <c r="R31" s="496"/>
      <c r="S31" s="496"/>
      <c r="T31" s="496"/>
      <c r="U31" s="496"/>
      <c r="V31" s="496"/>
    </row>
    <row r="32" spans="1:28" x14ac:dyDescent="0.25">
      <c r="A32" s="368"/>
      <c r="B32" s="462"/>
      <c r="C32" s="193" t="s">
        <v>395</v>
      </c>
      <c r="D32" s="467">
        <f>'2015ER'!AV7</f>
        <v>61.690827855331229</v>
      </c>
      <c r="E32" s="467">
        <f>'2025ER'!AV7</f>
        <v>24.28916155157938</v>
      </c>
      <c r="F32" s="466">
        <f t="shared" si="0"/>
        <v>42.989994703455523</v>
      </c>
      <c r="G32" s="330"/>
      <c r="H32" s="368"/>
      <c r="J32" s="495"/>
      <c r="K32" s="496"/>
      <c r="L32" s="496"/>
      <c r="M32" s="496"/>
      <c r="N32" s="496"/>
      <c r="O32" s="496"/>
      <c r="P32" s="495"/>
      <c r="Q32" s="496"/>
      <c r="R32" s="496"/>
      <c r="S32" s="496"/>
      <c r="T32" s="496"/>
      <c r="U32" s="496"/>
      <c r="V32" s="496"/>
    </row>
    <row r="33" spans="1:22" x14ac:dyDescent="0.25">
      <c r="A33" s="368"/>
      <c r="B33" s="462"/>
      <c r="C33" s="193" t="s">
        <v>396</v>
      </c>
      <c r="D33" s="467">
        <f>'2015ER'!AV8</f>
        <v>10.430373024743488</v>
      </c>
      <c r="E33" s="467">
        <f>'2025ER'!AV8</f>
        <v>4.4697968378830852</v>
      </c>
      <c r="F33" s="466">
        <f t="shared" si="0"/>
        <v>7.4500849313133131</v>
      </c>
      <c r="G33" s="330"/>
      <c r="H33" s="368"/>
      <c r="J33" s="495"/>
      <c r="K33" s="496"/>
      <c r="L33" s="496"/>
      <c r="M33" s="496"/>
      <c r="N33" s="496"/>
      <c r="O33" s="496"/>
      <c r="P33" s="495"/>
      <c r="Q33" s="496"/>
      <c r="R33" s="496"/>
      <c r="S33" s="496"/>
      <c r="T33" s="496"/>
      <c r="U33" s="496"/>
      <c r="V33" s="496"/>
    </row>
    <row r="34" spans="1:22" x14ac:dyDescent="0.25">
      <c r="A34" s="368"/>
      <c r="B34" s="724"/>
      <c r="C34" s="193" t="s">
        <v>593</v>
      </c>
      <c r="D34" s="467">
        <f>'2015ER'!AV9</f>
        <v>7.6596847381551092E-2</v>
      </c>
      <c r="E34" s="467">
        <f>'2025ER'!AV9</f>
        <v>6.3714295089789541E-2</v>
      </c>
      <c r="F34" s="466">
        <f t="shared" si="0"/>
        <v>7.0155571235670511E-2</v>
      </c>
      <c r="G34" s="330"/>
      <c r="H34" s="368"/>
      <c r="J34" s="495"/>
      <c r="K34" s="496"/>
      <c r="L34" s="496"/>
      <c r="M34" s="496"/>
      <c r="N34" s="496"/>
      <c r="O34" s="496"/>
      <c r="P34" s="495"/>
      <c r="Q34" s="496"/>
      <c r="R34" s="496"/>
      <c r="S34" s="496"/>
      <c r="T34" s="496"/>
      <c r="U34" s="496"/>
      <c r="V34" s="496"/>
    </row>
    <row r="35" spans="1:22" x14ac:dyDescent="0.25">
      <c r="A35" s="368"/>
      <c r="B35" s="724"/>
      <c r="C35" s="193" t="s">
        <v>592</v>
      </c>
      <c r="D35" s="467">
        <f>'2015ER'!AV10</f>
        <v>22.994698616033428</v>
      </c>
      <c r="E35" s="467">
        <f>'2025ER'!AV10</f>
        <v>9.6956358189953917</v>
      </c>
      <c r="F35" s="466">
        <f t="shared" si="0"/>
        <v>16.345167217514245</v>
      </c>
      <c r="G35" s="330"/>
      <c r="H35" s="368"/>
      <c r="J35" s="496"/>
      <c r="K35" s="496"/>
      <c r="L35" s="496"/>
      <c r="M35" s="496"/>
      <c r="N35" s="496"/>
      <c r="O35" s="496"/>
      <c r="P35" s="496"/>
      <c r="Q35" s="496"/>
      <c r="R35" s="496"/>
      <c r="S35" s="496"/>
      <c r="T35" s="496"/>
      <c r="U35" s="496"/>
      <c r="V35" s="496"/>
    </row>
    <row r="36" spans="1:22" x14ac:dyDescent="0.25">
      <c r="A36" s="368"/>
      <c r="B36" s="171"/>
      <c r="C36" s="1"/>
      <c r="D36" s="339"/>
      <c r="E36" s="339"/>
      <c r="F36" s="339"/>
      <c r="G36" s="339"/>
      <c r="H36" s="368"/>
      <c r="J36" s="502"/>
      <c r="K36" s="496"/>
      <c r="L36" s="496"/>
      <c r="M36" s="496"/>
      <c r="N36" s="496"/>
      <c r="O36" s="496"/>
      <c r="P36" s="496"/>
      <c r="Q36" s="496"/>
      <c r="R36" s="496"/>
      <c r="S36" s="496"/>
      <c r="T36" s="496"/>
      <c r="U36" s="496"/>
      <c r="V36" s="496"/>
    </row>
    <row r="37" spans="1:22" ht="15.75" x14ac:dyDescent="0.25">
      <c r="A37" s="368"/>
      <c r="B37" s="171"/>
      <c r="C37" s="890" t="s">
        <v>317</v>
      </c>
      <c r="D37" s="890"/>
      <c r="E37" s="890"/>
      <c r="F37" s="890"/>
      <c r="G37" s="12"/>
      <c r="H37" s="368"/>
      <c r="J37" s="496"/>
      <c r="K37" s="496"/>
      <c r="L37" s="496"/>
      <c r="M37" s="496"/>
      <c r="N37" s="496"/>
      <c r="O37" s="496"/>
      <c r="P37" s="496"/>
      <c r="Q37" s="496"/>
      <c r="R37" s="496"/>
      <c r="S37" s="496"/>
      <c r="T37" s="496"/>
      <c r="U37" s="496"/>
      <c r="V37" s="496"/>
    </row>
    <row r="38" spans="1:22" ht="15.75" x14ac:dyDescent="0.25">
      <c r="A38" s="368"/>
      <c r="B38" s="171"/>
      <c r="C38" s="358" t="s">
        <v>324</v>
      </c>
      <c r="D38" s="357"/>
      <c r="E38" s="359"/>
      <c r="F38" s="358" t="s">
        <v>323</v>
      </c>
      <c r="G38" s="173"/>
      <c r="H38" s="368"/>
      <c r="J38" s="582"/>
      <c r="K38" s="496"/>
      <c r="L38" s="496"/>
      <c r="M38" s="496"/>
      <c r="N38" s="496"/>
      <c r="O38" s="496"/>
      <c r="P38" s="496"/>
      <c r="Q38" s="496"/>
      <c r="R38" s="496"/>
      <c r="S38" s="496"/>
      <c r="T38" s="496"/>
      <c r="U38" s="496"/>
      <c r="V38" s="496"/>
    </row>
    <row r="39" spans="1:22" x14ac:dyDescent="0.25">
      <c r="A39" s="368"/>
      <c r="B39" s="462"/>
      <c r="C39" s="204" t="s">
        <v>399</v>
      </c>
      <c r="D39" s="463"/>
      <c r="E39" s="463"/>
      <c r="F39" s="463">
        <f>IF(F9="",F8-F8*(IF(F12="N",F19,F20)),F9)</f>
        <v>58.599999999999994</v>
      </c>
      <c r="G39" s="25"/>
      <c r="H39" s="368"/>
      <c r="J39" s="496"/>
      <c r="K39" s="496"/>
      <c r="L39" s="496"/>
      <c r="M39" s="496"/>
      <c r="N39" s="496"/>
      <c r="O39" s="496"/>
      <c r="P39" s="496"/>
      <c r="Q39" s="496"/>
      <c r="R39" s="496"/>
      <c r="S39" s="496"/>
      <c r="T39" s="496"/>
      <c r="U39" s="496"/>
      <c r="V39" s="496"/>
    </row>
    <row r="40" spans="1:22" x14ac:dyDescent="0.25">
      <c r="A40" s="368"/>
      <c r="B40" s="462"/>
      <c r="C40" s="193" t="s">
        <v>80</v>
      </c>
      <c r="D40" s="463"/>
      <c r="E40" s="463"/>
      <c r="F40" s="463">
        <f>(F10*F8)/3600</f>
        <v>77.777777777777771</v>
      </c>
      <c r="G40" s="25"/>
      <c r="H40" s="368"/>
      <c r="J40" s="496"/>
      <c r="K40" s="496"/>
      <c r="L40" s="496"/>
      <c r="M40" s="496"/>
      <c r="N40" s="496"/>
      <c r="O40" s="496"/>
      <c r="P40" s="496"/>
      <c r="Q40" s="496"/>
      <c r="R40" s="496"/>
      <c r="S40" s="496"/>
      <c r="T40" s="496"/>
      <c r="U40" s="496"/>
      <c r="V40" s="496"/>
    </row>
    <row r="41" spans="1:22" x14ac:dyDescent="0.25">
      <c r="A41" s="368"/>
      <c r="B41" s="462"/>
      <c r="C41" s="193" t="s">
        <v>81</v>
      </c>
      <c r="D41" s="463"/>
      <c r="E41" s="463"/>
      <c r="F41" s="463">
        <f>(F10*F39)/3600</f>
        <v>56.972222222222214</v>
      </c>
      <c r="G41" s="25"/>
      <c r="H41" s="368"/>
      <c r="J41" s="496"/>
      <c r="K41" s="496"/>
      <c r="L41" s="496"/>
      <c r="M41" s="496"/>
      <c r="N41" s="496"/>
      <c r="O41" s="496"/>
      <c r="P41" s="496"/>
      <c r="Q41" s="496"/>
      <c r="R41" s="496"/>
      <c r="S41" s="496"/>
      <c r="T41" s="496"/>
      <c r="U41" s="496"/>
      <c r="V41" s="496"/>
    </row>
    <row r="42" spans="1:22" x14ac:dyDescent="0.25">
      <c r="A42" s="368"/>
      <c r="B42" s="462"/>
      <c r="C42" s="312" t="s">
        <v>415</v>
      </c>
      <c r="D42" s="468"/>
      <c r="E42" s="468"/>
      <c r="F42" s="468"/>
      <c r="G42" s="25"/>
      <c r="H42" s="368"/>
      <c r="J42" s="496"/>
      <c r="K42" s="496"/>
      <c r="L42" s="496"/>
      <c r="M42" s="496"/>
      <c r="N42" s="496"/>
      <c r="O42" s="496"/>
      <c r="P42" s="496"/>
      <c r="Q42" s="496"/>
      <c r="R42" s="496"/>
      <c r="S42" s="496"/>
      <c r="T42" s="496"/>
      <c r="U42" s="496"/>
      <c r="V42" s="496"/>
    </row>
    <row r="43" spans="1:22" x14ac:dyDescent="0.25">
      <c r="A43" s="368"/>
      <c r="B43" s="462"/>
      <c r="C43" s="193" t="s">
        <v>642</v>
      </c>
      <c r="D43" s="463"/>
      <c r="E43" s="463"/>
      <c r="F43" s="638">
        <f t="shared" ref="F43:F48" si="1">F$17*((F$40*(1-F$11)*F22)+(F$40*F$11*F29))</f>
        <v>2518406.8587225256</v>
      </c>
      <c r="G43" s="25"/>
      <c r="H43" s="368"/>
      <c r="J43" s="503"/>
      <c r="K43" s="496"/>
      <c r="L43" s="496"/>
      <c r="M43" s="496"/>
      <c r="N43" s="496"/>
      <c r="O43" s="496"/>
      <c r="P43" s="496"/>
      <c r="Q43" s="496"/>
      <c r="R43" s="496"/>
      <c r="S43" s="496"/>
      <c r="T43" s="496"/>
      <c r="U43" s="496"/>
      <c r="V43" s="496"/>
    </row>
    <row r="44" spans="1:22" x14ac:dyDescent="0.25">
      <c r="A44" s="368"/>
      <c r="B44" s="462"/>
      <c r="C44" s="193" t="s">
        <v>275</v>
      </c>
      <c r="D44" s="463"/>
      <c r="E44" s="463"/>
      <c r="F44" s="638">
        <f t="shared" si="1"/>
        <v>1438.0595481440048</v>
      </c>
      <c r="G44" s="25"/>
      <c r="H44" s="368"/>
      <c r="J44" s="503"/>
      <c r="K44" s="496"/>
      <c r="L44" s="496"/>
      <c r="M44" s="496"/>
      <c r="N44" s="496"/>
      <c r="O44" s="496"/>
      <c r="P44" s="496"/>
      <c r="Q44" s="496"/>
      <c r="R44" s="496"/>
      <c r="S44" s="496"/>
      <c r="T44" s="496"/>
      <c r="U44" s="496"/>
      <c r="V44" s="496"/>
    </row>
    <row r="45" spans="1:22" x14ac:dyDescent="0.25">
      <c r="A45" s="368"/>
      <c r="B45" s="462"/>
      <c r="C45" s="193" t="s">
        <v>206</v>
      </c>
      <c r="D45" s="463"/>
      <c r="E45" s="463"/>
      <c r="F45" s="638">
        <f t="shared" si="1"/>
        <v>89.655149906224651</v>
      </c>
      <c r="G45" s="25"/>
      <c r="H45" s="368"/>
      <c r="J45" s="496"/>
      <c r="K45" s="495"/>
      <c r="L45" s="495"/>
      <c r="M45" s="495"/>
      <c r="N45" s="504"/>
      <c r="O45" s="496"/>
      <c r="P45" s="496"/>
      <c r="Q45" s="496"/>
      <c r="R45" s="496"/>
      <c r="S45" s="496"/>
      <c r="T45" s="496"/>
      <c r="U45" s="496"/>
      <c r="V45" s="496"/>
    </row>
    <row r="46" spans="1:22" x14ac:dyDescent="0.25">
      <c r="A46" s="368"/>
      <c r="B46" s="462"/>
      <c r="C46" s="193" t="s">
        <v>276</v>
      </c>
      <c r="D46" s="463"/>
      <c r="E46" s="463"/>
      <c r="F46" s="638">
        <f t="shared" si="1"/>
        <v>2094.742508558375</v>
      </c>
      <c r="G46" s="25"/>
      <c r="H46" s="368"/>
      <c r="J46" s="496"/>
      <c r="K46" s="495"/>
      <c r="L46" s="495"/>
      <c r="M46" s="495"/>
      <c r="N46" s="504"/>
      <c r="O46" s="496"/>
      <c r="P46" s="496"/>
      <c r="Q46" s="496"/>
      <c r="R46" s="496"/>
      <c r="S46" s="496"/>
      <c r="T46" s="496"/>
      <c r="U46" s="496"/>
      <c r="V46" s="496"/>
    </row>
    <row r="47" spans="1:22" x14ac:dyDescent="0.25">
      <c r="A47" s="368"/>
      <c r="B47" s="462"/>
      <c r="C47" s="193" t="s">
        <v>205</v>
      </c>
      <c r="D47" s="463"/>
      <c r="E47" s="463"/>
      <c r="F47" s="638">
        <f t="shared" si="1"/>
        <v>1925.4359968953054</v>
      </c>
      <c r="G47" s="25"/>
      <c r="H47" s="368"/>
      <c r="J47" s="499"/>
      <c r="K47" s="505"/>
      <c r="L47" s="505"/>
      <c r="M47" s="506"/>
      <c r="N47" s="507"/>
      <c r="O47" s="496"/>
      <c r="P47" s="508"/>
      <c r="Q47" s="508"/>
      <c r="R47" s="508"/>
      <c r="S47" s="509"/>
      <c r="T47" s="508"/>
      <c r="U47" s="496"/>
      <c r="V47" s="496"/>
    </row>
    <row r="48" spans="1:22" x14ac:dyDescent="0.25">
      <c r="A48" s="368"/>
      <c r="B48" s="724"/>
      <c r="C48" s="193" t="s">
        <v>594</v>
      </c>
      <c r="D48" s="463"/>
      <c r="E48" s="463"/>
      <c r="F48" s="638">
        <f t="shared" si="1"/>
        <v>34.876527341487908</v>
      </c>
      <c r="G48" s="25"/>
      <c r="H48" s="368"/>
      <c r="J48" s="499"/>
      <c r="K48" s="505"/>
      <c r="L48" s="505"/>
      <c r="M48" s="506"/>
      <c r="N48" s="496"/>
      <c r="O48" s="510"/>
      <c r="P48" s="510"/>
      <c r="Q48" s="510"/>
      <c r="R48" s="510"/>
      <c r="S48" s="510"/>
      <c r="T48" s="510"/>
      <c r="U48" s="496"/>
      <c r="V48" s="496"/>
    </row>
    <row r="49" spans="1:22" x14ac:dyDescent="0.25">
      <c r="A49" s="368"/>
      <c r="B49" s="724"/>
      <c r="C49" s="193" t="s">
        <v>595</v>
      </c>
      <c r="D49" s="463"/>
      <c r="E49" s="463"/>
      <c r="F49" s="638">
        <f t="shared" ref="F49" si="2">F$17*((F$40*(1-F$11)*F28)+(F$40*F$11*F35))</f>
        <v>12211.478489614135</v>
      </c>
      <c r="G49" s="25"/>
      <c r="H49" s="368"/>
      <c r="J49" s="499"/>
      <c r="K49" s="511"/>
      <c r="L49" s="511"/>
      <c r="M49" s="496"/>
      <c r="N49" s="496"/>
      <c r="O49" s="510"/>
      <c r="P49" s="510"/>
      <c r="Q49" s="510"/>
      <c r="R49" s="510"/>
      <c r="S49" s="510"/>
      <c r="T49" s="510"/>
      <c r="U49" s="496"/>
      <c r="V49" s="496"/>
    </row>
    <row r="50" spans="1:22" x14ac:dyDescent="0.25">
      <c r="A50" s="368"/>
      <c r="B50" s="462"/>
      <c r="C50" s="196" t="s">
        <v>641</v>
      </c>
      <c r="D50" s="463"/>
      <c r="E50" s="463"/>
      <c r="F50" s="638">
        <f t="shared" ref="F50:F56" si="3">F$17*((F$41*(1-F$11)*F22)+(F$41*F$11*F29))</f>
        <v>1844733.0240142499</v>
      </c>
      <c r="G50" s="25"/>
      <c r="H50" s="368"/>
      <c r="J50" s="499"/>
      <c r="K50" s="511"/>
      <c r="L50" s="511"/>
      <c r="M50" s="496"/>
      <c r="N50" s="499"/>
      <c r="O50" s="512"/>
      <c r="P50" s="512"/>
      <c r="Q50" s="512"/>
      <c r="R50" s="512"/>
      <c r="S50" s="512"/>
      <c r="T50" s="512"/>
      <c r="U50" s="496"/>
      <c r="V50" s="496"/>
    </row>
    <row r="51" spans="1:22" x14ac:dyDescent="0.25">
      <c r="A51" s="368"/>
      <c r="B51" s="462"/>
      <c r="C51" s="196" t="s">
        <v>277</v>
      </c>
      <c r="D51" s="463"/>
      <c r="E51" s="463"/>
      <c r="F51" s="638">
        <f t="shared" si="3"/>
        <v>1053.3786190154835</v>
      </c>
      <c r="G51" s="25"/>
      <c r="H51" s="368"/>
      <c r="J51" s="499"/>
      <c r="K51" s="511"/>
      <c r="L51" s="505"/>
      <c r="M51" s="496"/>
      <c r="N51" s="499"/>
      <c r="O51" s="512"/>
      <c r="P51" s="512"/>
      <c r="Q51" s="512"/>
      <c r="R51" s="512"/>
      <c r="S51" s="512"/>
      <c r="T51" s="512"/>
      <c r="U51" s="496"/>
      <c r="V51" s="496"/>
    </row>
    <row r="52" spans="1:22" x14ac:dyDescent="0.25">
      <c r="A52" s="368"/>
      <c r="B52" s="462"/>
      <c r="C52" s="196" t="s">
        <v>209</v>
      </c>
      <c r="D52" s="463"/>
      <c r="E52" s="463"/>
      <c r="F52" s="638">
        <f t="shared" si="3"/>
        <v>65.672397306309563</v>
      </c>
      <c r="G52" s="25"/>
      <c r="H52" s="368"/>
      <c r="J52" s="496"/>
      <c r="K52" s="496"/>
      <c r="L52" s="496"/>
      <c r="M52" s="496"/>
      <c r="N52" s="499"/>
      <c r="O52" s="512"/>
      <c r="P52" s="512"/>
      <c r="Q52" s="512"/>
      <c r="R52" s="512"/>
      <c r="S52" s="512"/>
      <c r="T52" s="512"/>
      <c r="U52" s="496"/>
      <c r="V52" s="496"/>
    </row>
    <row r="53" spans="1:22" x14ac:dyDescent="0.25">
      <c r="A53" s="368"/>
      <c r="B53" s="462"/>
      <c r="C53" s="196" t="s">
        <v>278</v>
      </c>
      <c r="D53" s="463"/>
      <c r="E53" s="463"/>
      <c r="F53" s="638">
        <f t="shared" si="3"/>
        <v>1534.3988875190098</v>
      </c>
      <c r="G53" s="25"/>
      <c r="H53" s="368"/>
      <c r="J53" s="496"/>
      <c r="K53" s="496"/>
      <c r="L53" s="496"/>
      <c r="M53" s="496"/>
      <c r="N53" s="499"/>
      <c r="O53" s="512"/>
      <c r="P53" s="512"/>
      <c r="Q53" s="512"/>
      <c r="R53" s="512"/>
      <c r="S53" s="512"/>
      <c r="T53" s="512"/>
      <c r="U53" s="496"/>
      <c r="V53" s="496"/>
    </row>
    <row r="54" spans="1:22" x14ac:dyDescent="0.25">
      <c r="A54" s="368"/>
      <c r="B54" s="462"/>
      <c r="C54" s="196" t="s">
        <v>208</v>
      </c>
      <c r="D54" s="463"/>
      <c r="E54" s="463"/>
      <c r="F54" s="638">
        <f t="shared" si="3"/>
        <v>1410.3818677258109</v>
      </c>
      <c r="G54" s="25"/>
      <c r="H54" s="368"/>
      <c r="J54" s="496"/>
      <c r="K54" s="496"/>
      <c r="L54" s="496"/>
      <c r="M54" s="496"/>
      <c r="N54" s="499"/>
      <c r="O54" s="512"/>
      <c r="P54" s="512"/>
      <c r="Q54" s="512"/>
      <c r="R54" s="512"/>
      <c r="S54" s="512"/>
      <c r="T54" s="512"/>
      <c r="U54" s="496"/>
      <c r="V54" s="496"/>
    </row>
    <row r="55" spans="1:22" x14ac:dyDescent="0.25">
      <c r="A55" s="368"/>
      <c r="B55" s="724"/>
      <c r="C55" s="196" t="s">
        <v>596</v>
      </c>
      <c r="D55" s="463"/>
      <c r="E55" s="463"/>
      <c r="F55" s="638">
        <f t="shared" si="3"/>
        <v>25.547056277639896</v>
      </c>
      <c r="G55" s="25"/>
      <c r="H55" s="368"/>
      <c r="J55" s="496"/>
      <c r="K55" s="496"/>
      <c r="L55" s="496"/>
      <c r="M55" s="496"/>
      <c r="N55" s="499"/>
      <c r="O55" s="512"/>
      <c r="P55" s="512"/>
      <c r="Q55" s="512"/>
      <c r="R55" s="512"/>
      <c r="S55" s="512"/>
      <c r="T55" s="512"/>
      <c r="U55" s="496"/>
      <c r="V55" s="496"/>
    </row>
    <row r="56" spans="1:22" x14ac:dyDescent="0.25">
      <c r="A56" s="368"/>
      <c r="B56" s="724"/>
      <c r="C56" s="196" t="s">
        <v>597</v>
      </c>
      <c r="D56" s="463"/>
      <c r="E56" s="463"/>
      <c r="F56" s="638">
        <f t="shared" si="3"/>
        <v>8944.907993642355</v>
      </c>
      <c r="G56" s="25"/>
      <c r="H56" s="368"/>
      <c r="J56" s="496"/>
      <c r="K56" s="496"/>
      <c r="L56" s="496"/>
      <c r="M56" s="496"/>
      <c r="N56" s="499"/>
      <c r="O56" s="512"/>
      <c r="P56" s="512"/>
      <c r="Q56" s="512"/>
      <c r="R56" s="512"/>
      <c r="S56" s="512"/>
      <c r="T56" s="512"/>
      <c r="U56" s="496"/>
      <c r="V56" s="496"/>
    </row>
    <row r="57" spans="1:22" x14ac:dyDescent="0.25">
      <c r="A57" s="368"/>
      <c r="B57" s="171"/>
      <c r="C57" s="23"/>
      <c r="D57" s="342"/>
      <c r="E57" s="342"/>
      <c r="F57" s="342"/>
      <c r="G57" s="342"/>
      <c r="H57" s="368"/>
      <c r="N57" s="499"/>
      <c r="O57" s="512"/>
      <c r="P57" s="512"/>
      <c r="Q57" s="512"/>
      <c r="R57" s="512"/>
      <c r="S57" s="512"/>
      <c r="T57" s="512"/>
    </row>
    <row r="58" spans="1:22" ht="15.75" x14ac:dyDescent="0.25">
      <c r="A58" s="368"/>
      <c r="B58" s="171"/>
      <c r="C58" s="887" t="s">
        <v>318</v>
      </c>
      <c r="D58" s="887"/>
      <c r="E58" s="887"/>
      <c r="F58" s="887"/>
      <c r="G58" s="342"/>
      <c r="H58" s="368"/>
      <c r="N58" s="499"/>
      <c r="O58" s="512"/>
      <c r="P58" s="512"/>
      <c r="Q58" s="512"/>
      <c r="R58" s="512"/>
      <c r="S58" s="512"/>
      <c r="T58" s="512"/>
    </row>
    <row r="59" spans="1:22" ht="15.75" thickBot="1" x14ac:dyDescent="0.3">
      <c r="A59" s="368"/>
      <c r="B59" s="171"/>
      <c r="C59" s="369" t="s">
        <v>319</v>
      </c>
      <c r="D59" s="369"/>
      <c r="E59" s="369"/>
      <c r="F59" s="369"/>
      <c r="G59" s="342"/>
      <c r="H59" s="368"/>
      <c r="N59" s="499"/>
      <c r="O59" s="512"/>
      <c r="P59" s="512"/>
      <c r="Q59" s="512"/>
      <c r="R59" s="512"/>
      <c r="S59" s="512"/>
      <c r="T59" s="512"/>
    </row>
    <row r="60" spans="1:22" x14ac:dyDescent="0.25">
      <c r="A60" s="368"/>
      <c r="B60" s="180"/>
      <c r="C60" s="364" t="s">
        <v>116</v>
      </c>
      <c r="D60" s="326"/>
      <c r="E60" s="326"/>
      <c r="F60" s="326">
        <f>(F40*F18*F17)-(F41*F18*F17)</f>
        <v>52013.888888888876</v>
      </c>
      <c r="G60" s="121"/>
      <c r="H60" s="368"/>
      <c r="N60" s="499"/>
      <c r="O60" s="512"/>
      <c r="P60" s="512"/>
      <c r="Q60" s="512"/>
      <c r="R60" s="512"/>
      <c r="S60" s="512"/>
      <c r="T60" s="512"/>
    </row>
    <row r="61" spans="1:22" ht="15.75" thickBot="1" x14ac:dyDescent="0.3">
      <c r="A61" s="368"/>
      <c r="B61" s="2"/>
      <c r="C61" s="254" t="s">
        <v>49</v>
      </c>
      <c r="D61" s="490"/>
      <c r="E61" s="490"/>
      <c r="F61" s="490" t="s">
        <v>187</v>
      </c>
      <c r="G61" s="121"/>
      <c r="H61" s="368"/>
      <c r="N61" s="499"/>
      <c r="O61" s="512"/>
      <c r="P61" s="512"/>
      <c r="Q61" s="512"/>
      <c r="R61" s="512"/>
      <c r="S61" s="512"/>
      <c r="T61" s="512"/>
    </row>
    <row r="62" spans="1:22" x14ac:dyDescent="0.25">
      <c r="A62" s="368"/>
      <c r="B62" s="171"/>
      <c r="C62" s="349"/>
      <c r="D62" s="343"/>
      <c r="E62" s="343"/>
      <c r="F62" s="343"/>
      <c r="G62" s="332"/>
      <c r="H62" s="368"/>
      <c r="N62" s="499"/>
      <c r="O62" s="512"/>
      <c r="P62" s="512"/>
      <c r="Q62" s="512"/>
      <c r="R62" s="512"/>
      <c r="S62" s="512"/>
      <c r="T62" s="512"/>
    </row>
    <row r="63" spans="1:22" ht="15.75" thickBot="1" x14ac:dyDescent="0.3">
      <c r="A63" s="368"/>
      <c r="B63" s="171"/>
      <c r="C63" s="778" t="s">
        <v>329</v>
      </c>
      <c r="D63" s="171"/>
      <c r="E63" s="171"/>
      <c r="F63" s="171"/>
      <c r="G63" s="172"/>
      <c r="H63" s="368"/>
      <c r="N63" s="499"/>
      <c r="O63" s="512"/>
      <c r="P63" s="512"/>
      <c r="Q63" s="512"/>
      <c r="R63" s="512"/>
      <c r="S63" s="512"/>
      <c r="T63" s="512"/>
    </row>
    <row r="64" spans="1:22" x14ac:dyDescent="0.25">
      <c r="A64" s="368"/>
      <c r="B64" s="2"/>
      <c r="C64" s="850" t="s">
        <v>731</v>
      </c>
      <c r="D64" s="794"/>
      <c r="E64" s="794"/>
      <c r="F64" s="827">
        <f t="shared" ref="F64:F67" si="4">((F43-F50)*F$18)/1000</f>
        <v>168418.45867706893</v>
      </c>
      <c r="G64" s="337"/>
      <c r="H64" s="368"/>
      <c r="N64" s="499"/>
      <c r="O64" s="512"/>
      <c r="P64" s="512"/>
      <c r="Q64" s="512"/>
      <c r="R64" s="512"/>
      <c r="S64" s="512"/>
      <c r="T64" s="512"/>
    </row>
    <row r="65" spans="1:25" x14ac:dyDescent="0.25">
      <c r="A65" s="368"/>
      <c r="B65" s="2"/>
      <c r="C65" s="851" t="s">
        <v>702</v>
      </c>
      <c r="D65" s="781"/>
      <c r="E65" s="781"/>
      <c r="F65" s="828">
        <f t="shared" si="4"/>
        <v>96.170232282130314</v>
      </c>
      <c r="G65" s="337"/>
      <c r="H65" s="368"/>
      <c r="N65" s="499"/>
      <c r="O65" s="512"/>
      <c r="P65" s="512"/>
      <c r="Q65" s="512"/>
      <c r="R65" s="512"/>
      <c r="S65" s="512"/>
      <c r="T65" s="512"/>
    </row>
    <row r="66" spans="1:25" x14ac:dyDescent="0.25">
      <c r="A66" s="368"/>
      <c r="B66" s="2"/>
      <c r="C66" s="851" t="s">
        <v>703</v>
      </c>
      <c r="D66" s="781"/>
      <c r="E66" s="781"/>
      <c r="F66" s="828">
        <f t="shared" si="4"/>
        <v>5.995688149978772</v>
      </c>
      <c r="G66" s="337"/>
      <c r="H66" s="368"/>
      <c r="N66" s="499"/>
      <c r="O66" s="512"/>
      <c r="P66" s="512"/>
      <c r="Q66" s="512"/>
      <c r="R66" s="512"/>
      <c r="S66" s="512"/>
      <c r="T66" s="512"/>
    </row>
    <row r="67" spans="1:25" x14ac:dyDescent="0.25">
      <c r="A67" s="368"/>
      <c r="B67" s="2"/>
      <c r="C67" s="869" t="s">
        <v>704</v>
      </c>
      <c r="D67" s="780"/>
      <c r="E67" s="780"/>
      <c r="F67" s="829">
        <f t="shared" si="4"/>
        <v>140.0859052598413</v>
      </c>
      <c r="G67" s="337"/>
      <c r="H67" s="368"/>
      <c r="N67" s="499"/>
      <c r="O67" s="512"/>
      <c r="P67" s="512"/>
      <c r="Q67" s="512"/>
      <c r="R67" s="512"/>
      <c r="S67" s="512"/>
      <c r="T67" s="512"/>
    </row>
    <row r="68" spans="1:25" x14ac:dyDescent="0.25">
      <c r="A68" s="368"/>
      <c r="B68" s="2"/>
      <c r="C68" s="869" t="s">
        <v>705</v>
      </c>
      <c r="D68" s="780"/>
      <c r="E68" s="780"/>
      <c r="F68" s="829">
        <f>((F47-F54)*F$18)/1000</f>
        <v>128.76353229237361</v>
      </c>
      <c r="G68" s="337"/>
      <c r="H68" s="368"/>
      <c r="N68" s="499"/>
      <c r="O68" s="512"/>
      <c r="P68" s="512"/>
      <c r="Q68" s="512"/>
      <c r="R68" s="512"/>
      <c r="S68" s="512"/>
      <c r="T68" s="512"/>
    </row>
    <row r="69" spans="1:25" x14ac:dyDescent="0.25">
      <c r="A69" s="368"/>
      <c r="B69" s="2"/>
      <c r="C69" s="869" t="s">
        <v>706</v>
      </c>
      <c r="D69" s="780"/>
      <c r="E69" s="780"/>
      <c r="F69" s="829">
        <f t="shared" ref="F69:F70" si="5">((F48-F55)*F$18)/1000</f>
        <v>2.3323677659620028</v>
      </c>
      <c r="G69" s="337"/>
      <c r="H69" s="368"/>
      <c r="N69" s="499"/>
      <c r="O69" s="512"/>
      <c r="P69" s="512"/>
      <c r="Q69" s="512"/>
      <c r="R69" s="512"/>
      <c r="S69" s="512"/>
      <c r="T69" s="512"/>
    </row>
    <row r="70" spans="1:25" ht="15.75" thickBot="1" x14ac:dyDescent="0.3">
      <c r="A70" s="368"/>
      <c r="B70" s="2"/>
      <c r="C70" s="870" t="s">
        <v>707</v>
      </c>
      <c r="D70" s="789"/>
      <c r="E70" s="789"/>
      <c r="F70" s="830">
        <f t="shared" si="5"/>
        <v>816.64262399294512</v>
      </c>
      <c r="G70" s="337"/>
      <c r="H70" s="368"/>
      <c r="N70" s="499"/>
      <c r="O70" s="512"/>
      <c r="P70" s="512"/>
      <c r="Q70" s="512"/>
      <c r="R70" s="512"/>
      <c r="S70" s="512"/>
      <c r="T70" s="512"/>
    </row>
    <row r="71" spans="1:25" x14ac:dyDescent="0.25">
      <c r="A71" s="368"/>
      <c r="B71" s="2"/>
      <c r="C71" s="874" t="s">
        <v>732</v>
      </c>
      <c r="D71" s="794"/>
      <c r="E71" s="794"/>
      <c r="F71" s="852">
        <f>(F64)/F$18</f>
        <v>673.67383470827576</v>
      </c>
      <c r="G71" s="131"/>
      <c r="H71" s="368"/>
      <c r="N71" s="499"/>
      <c r="O71" s="512"/>
      <c r="P71" s="512"/>
      <c r="Q71" s="512"/>
      <c r="R71" s="512"/>
      <c r="S71" s="512"/>
      <c r="T71" s="512"/>
    </row>
    <row r="72" spans="1:25" x14ac:dyDescent="0.25">
      <c r="A72" s="368"/>
      <c r="B72" s="2"/>
      <c r="C72" s="875" t="s">
        <v>709</v>
      </c>
      <c r="D72" s="780"/>
      <c r="E72" s="780"/>
      <c r="F72" s="853">
        <f t="shared" ref="F72:F77" si="6">(F65)/F$18</f>
        <v>0.38468092912852125</v>
      </c>
      <c r="G72" s="131"/>
      <c r="H72" s="368"/>
      <c r="N72" s="499"/>
      <c r="O72" s="512"/>
      <c r="P72" s="512"/>
      <c r="Q72" s="512"/>
      <c r="R72" s="512"/>
      <c r="S72" s="512"/>
      <c r="T72" s="512"/>
    </row>
    <row r="73" spans="1:25" x14ac:dyDescent="0.25">
      <c r="A73" s="368"/>
      <c r="B73" s="2"/>
      <c r="C73" s="875" t="s">
        <v>710</v>
      </c>
      <c r="D73" s="780"/>
      <c r="E73" s="780"/>
      <c r="F73" s="853">
        <f t="shared" si="6"/>
        <v>2.3982752599915089E-2</v>
      </c>
      <c r="G73" s="171"/>
      <c r="H73" s="368"/>
      <c r="N73" s="499"/>
      <c r="O73" s="512"/>
      <c r="P73" s="512"/>
      <c r="Q73" s="512"/>
      <c r="R73" s="512"/>
      <c r="S73" s="512"/>
      <c r="T73" s="512"/>
    </row>
    <row r="74" spans="1:25" x14ac:dyDescent="0.25">
      <c r="A74" s="368"/>
      <c r="B74" s="2"/>
      <c r="C74" s="876" t="s">
        <v>711</v>
      </c>
      <c r="D74" s="781"/>
      <c r="E74" s="781"/>
      <c r="F74" s="854">
        <f t="shared" si="6"/>
        <v>0.56034362103936519</v>
      </c>
      <c r="G74" s="171"/>
      <c r="H74" s="368"/>
      <c r="N74" s="499"/>
      <c r="O74" s="512"/>
      <c r="P74" s="512"/>
      <c r="Q74" s="512"/>
      <c r="R74" s="512"/>
      <c r="S74" s="512"/>
      <c r="T74" s="512"/>
    </row>
    <row r="75" spans="1:25" x14ac:dyDescent="0.25">
      <c r="A75" s="368"/>
      <c r="B75" s="2"/>
      <c r="C75" s="876" t="s">
        <v>712</v>
      </c>
      <c r="D75" s="781"/>
      <c r="E75" s="781"/>
      <c r="F75" s="854">
        <f t="shared" si="6"/>
        <v>0.51505412916949445</v>
      </c>
      <c r="G75" s="171"/>
      <c r="H75" s="368"/>
      <c r="N75" s="499"/>
      <c r="O75" s="512"/>
      <c r="P75" s="512"/>
      <c r="Q75" s="512"/>
      <c r="R75" s="512"/>
      <c r="S75" s="512"/>
      <c r="T75" s="512"/>
    </row>
    <row r="76" spans="1:25" x14ac:dyDescent="0.25">
      <c r="A76" s="368"/>
      <c r="B76" s="2"/>
      <c r="C76" s="875" t="s">
        <v>713</v>
      </c>
      <c r="D76" s="780"/>
      <c r="E76" s="780"/>
      <c r="F76" s="853">
        <f t="shared" si="6"/>
        <v>9.3294710638480109E-3</v>
      </c>
      <c r="G76" s="724"/>
      <c r="H76" s="368"/>
      <c r="N76" s="499"/>
      <c r="O76" s="512"/>
      <c r="P76" s="512"/>
      <c r="Q76" s="512"/>
      <c r="R76" s="512"/>
      <c r="S76" s="512"/>
      <c r="T76" s="512"/>
    </row>
    <row r="77" spans="1:25" ht="15.75" thickBot="1" x14ac:dyDescent="0.3">
      <c r="A77" s="368"/>
      <c r="B77" s="2"/>
      <c r="C77" s="877" t="s">
        <v>714</v>
      </c>
      <c r="D77" s="786"/>
      <c r="E77" s="786"/>
      <c r="F77" s="855">
        <f t="shared" si="6"/>
        <v>3.2665704959717803</v>
      </c>
      <c r="G77" s="724"/>
      <c r="H77" s="368"/>
      <c r="N77" s="499"/>
      <c r="O77" s="512"/>
      <c r="P77" s="512"/>
      <c r="Q77" s="512"/>
      <c r="R77" s="512"/>
      <c r="S77" s="512"/>
      <c r="T77" s="512"/>
    </row>
    <row r="78" spans="1:25" ht="15.75" thickBot="1" x14ac:dyDescent="0.3">
      <c r="A78" s="368"/>
      <c r="B78" s="171"/>
      <c r="C78" s="878"/>
      <c r="D78" s="171"/>
      <c r="E78" s="171"/>
      <c r="F78" s="2"/>
      <c r="G78" s="171"/>
      <c r="H78" s="368"/>
      <c r="N78" s="499"/>
      <c r="O78" s="512"/>
      <c r="P78" s="512"/>
      <c r="Q78" s="512"/>
      <c r="R78" s="512"/>
      <c r="S78" s="512"/>
      <c r="T78" s="512"/>
    </row>
    <row r="79" spans="1:25" s="206" customFormat="1" x14ac:dyDescent="0.25">
      <c r="A79" s="368"/>
      <c r="B79" s="724"/>
      <c r="C79" s="850" t="s">
        <v>715</v>
      </c>
      <c r="D79" s="821"/>
      <c r="E79" s="821"/>
      <c r="F79" s="795">
        <v>5212260</v>
      </c>
      <c r="G79" s="724"/>
      <c r="H79" s="368"/>
      <c r="I79" s="371"/>
      <c r="J79" s="371"/>
      <c r="K79" s="371"/>
      <c r="L79" s="371"/>
      <c r="M79" s="371"/>
      <c r="N79" s="371"/>
      <c r="O79" s="371"/>
      <c r="P79" s="371"/>
      <c r="Q79" s="371"/>
      <c r="R79" s="371"/>
      <c r="S79" s="371"/>
      <c r="T79" s="371"/>
      <c r="U79" s="371"/>
      <c r="V79" s="371"/>
      <c r="W79" s="371"/>
      <c r="X79" s="371"/>
      <c r="Y79" s="371"/>
    </row>
    <row r="80" spans="1:25" s="206" customFormat="1" x14ac:dyDescent="0.25">
      <c r="A80" s="368"/>
      <c r="B80" s="724"/>
      <c r="C80" s="869" t="s">
        <v>716</v>
      </c>
      <c r="D80" s="820"/>
      <c r="E80" s="820"/>
      <c r="F80" s="796">
        <v>20</v>
      </c>
      <c r="G80" s="724"/>
      <c r="H80" s="368"/>
      <c r="I80" s="371"/>
      <c r="J80" s="371"/>
      <c r="K80" s="371"/>
      <c r="L80" s="371"/>
      <c r="M80" s="371"/>
      <c r="N80" s="371"/>
      <c r="O80" s="371"/>
      <c r="P80" s="371"/>
      <c r="Q80" s="371"/>
      <c r="R80" s="371"/>
      <c r="S80" s="371"/>
      <c r="T80" s="371"/>
      <c r="U80" s="371"/>
      <c r="V80" s="371"/>
      <c r="W80" s="371"/>
      <c r="X80" s="371"/>
      <c r="Y80" s="371"/>
    </row>
    <row r="81" spans="1:25" s="206" customFormat="1" x14ac:dyDescent="0.25">
      <c r="A81" s="368"/>
      <c r="B81" s="724"/>
      <c r="C81" s="851" t="s">
        <v>717</v>
      </c>
      <c r="D81" s="826"/>
      <c r="E81" s="826"/>
      <c r="F81" s="797">
        <f>(F$79/F$80)/F68</f>
        <v>2023.9659114682081</v>
      </c>
      <c r="G81" s="724"/>
      <c r="H81" s="368"/>
      <c r="I81" s="371"/>
      <c r="J81" s="371"/>
      <c r="K81" s="371"/>
      <c r="L81" s="371"/>
      <c r="M81" s="371"/>
      <c r="N81" s="371"/>
      <c r="O81" s="371"/>
      <c r="P81" s="371"/>
      <c r="Q81" s="371"/>
      <c r="R81" s="371"/>
      <c r="S81" s="371"/>
      <c r="T81" s="371"/>
      <c r="U81" s="371"/>
      <c r="V81" s="371"/>
      <c r="W81" s="371"/>
      <c r="X81" s="371"/>
      <c r="Y81" s="371"/>
    </row>
    <row r="82" spans="1:25" s="206" customFormat="1" x14ac:dyDescent="0.25">
      <c r="A82" s="368"/>
      <c r="B82" s="724"/>
      <c r="C82" s="851" t="s">
        <v>718</v>
      </c>
      <c r="D82" s="826"/>
      <c r="E82" s="826"/>
      <c r="F82" s="797">
        <f>(F$79/F$80)/F69</f>
        <v>111737.52433184918</v>
      </c>
      <c r="G82" s="724"/>
      <c r="H82" s="368"/>
      <c r="I82" s="371"/>
      <c r="J82" s="371"/>
      <c r="K82" s="371"/>
      <c r="L82" s="371"/>
      <c r="M82" s="371"/>
      <c r="N82" s="371"/>
      <c r="O82" s="371"/>
      <c r="P82" s="371"/>
      <c r="Q82" s="371"/>
      <c r="R82" s="371"/>
      <c r="S82" s="371"/>
      <c r="T82" s="371"/>
      <c r="U82" s="371"/>
      <c r="V82" s="371"/>
      <c r="W82" s="371"/>
      <c r="X82" s="371"/>
      <c r="Y82" s="371"/>
    </row>
    <row r="83" spans="1:25" s="206" customFormat="1" x14ac:dyDescent="0.25">
      <c r="A83" s="368"/>
      <c r="B83" s="724"/>
      <c r="C83" s="851" t="s">
        <v>719</v>
      </c>
      <c r="D83" s="826"/>
      <c r="E83" s="826"/>
      <c r="F83" s="797">
        <f>(F$79/F$80/F$18)/F74</f>
        <v>1860.3798827340729</v>
      </c>
      <c r="G83" s="724"/>
      <c r="H83" s="368"/>
      <c r="I83" s="371"/>
      <c r="J83" s="371"/>
      <c r="K83" s="371"/>
      <c r="L83" s="371"/>
      <c r="M83" s="371"/>
      <c r="N83" s="371"/>
      <c r="O83" s="371"/>
      <c r="P83" s="371"/>
      <c r="Q83" s="371"/>
      <c r="R83" s="371"/>
      <c r="S83" s="371"/>
      <c r="T83" s="371"/>
      <c r="U83" s="371"/>
      <c r="V83" s="371"/>
      <c r="W83" s="371"/>
      <c r="X83" s="371"/>
      <c r="Y83" s="371"/>
    </row>
    <row r="84" spans="1:25" s="206" customFormat="1" x14ac:dyDescent="0.25">
      <c r="A84" s="368"/>
      <c r="B84" s="724"/>
      <c r="C84" s="851" t="s">
        <v>720</v>
      </c>
      <c r="D84" s="826"/>
      <c r="E84" s="826"/>
      <c r="F84" s="797">
        <f>(F$79/F$80/F$18)/F75</f>
        <v>2023.9659114682081</v>
      </c>
      <c r="G84" s="724"/>
      <c r="H84" s="368"/>
      <c r="I84" s="371"/>
      <c r="J84" s="371"/>
      <c r="K84" s="371"/>
      <c r="L84" s="371"/>
      <c r="M84" s="371"/>
      <c r="N84" s="371"/>
      <c r="O84" s="371"/>
      <c r="P84" s="371"/>
      <c r="Q84" s="371"/>
      <c r="R84" s="371"/>
      <c r="S84" s="371"/>
      <c r="T84" s="371"/>
      <c r="U84" s="371"/>
      <c r="V84" s="371"/>
      <c r="W84" s="371"/>
      <c r="X84" s="371"/>
      <c r="Y84" s="371"/>
    </row>
    <row r="85" spans="1:25" s="206" customFormat="1" ht="15.75" thickBot="1" x14ac:dyDescent="0.3">
      <c r="A85" s="368"/>
      <c r="B85" s="724"/>
      <c r="C85" s="873" t="s">
        <v>721</v>
      </c>
      <c r="D85" s="831"/>
      <c r="E85" s="831"/>
      <c r="F85" s="797">
        <f>(F$79/F$80/F$18)/F77</f>
        <v>319.12735429574076</v>
      </c>
      <c r="G85" s="724"/>
      <c r="H85" s="368"/>
      <c r="I85" s="371"/>
      <c r="J85" s="371"/>
      <c r="K85" s="371"/>
      <c r="L85" s="371"/>
      <c r="M85" s="371"/>
      <c r="N85" s="371"/>
      <c r="O85" s="371"/>
      <c r="P85" s="371"/>
      <c r="Q85" s="371"/>
      <c r="R85" s="371"/>
      <c r="S85" s="371"/>
      <c r="T85" s="371"/>
      <c r="U85" s="371"/>
      <c r="V85" s="371"/>
      <c r="W85" s="371"/>
      <c r="X85" s="371"/>
      <c r="Y85" s="371"/>
    </row>
    <row r="86" spans="1:25" x14ac:dyDescent="0.25">
      <c r="A86" s="368"/>
      <c r="B86" s="724"/>
      <c r="C86" s="349"/>
      <c r="D86" s="343"/>
      <c r="E86" s="343"/>
      <c r="F86" s="343"/>
      <c r="G86" s="332"/>
      <c r="H86" s="368"/>
      <c r="Y86" s="371"/>
    </row>
    <row r="87" spans="1:25" s="206" customFormat="1" x14ac:dyDescent="0.25">
      <c r="A87" s="368"/>
      <c r="B87" s="368"/>
      <c r="C87" s="368"/>
      <c r="D87" s="368"/>
      <c r="E87" s="368"/>
      <c r="F87" s="368"/>
      <c r="G87" s="368"/>
      <c r="H87" s="368"/>
      <c r="I87" s="371"/>
      <c r="J87" s="371"/>
      <c r="K87" s="371"/>
      <c r="L87" s="371"/>
      <c r="M87" s="371"/>
      <c r="N87" s="371"/>
      <c r="O87" s="371"/>
      <c r="P87" s="371"/>
      <c r="Q87" s="371"/>
      <c r="R87" s="371"/>
      <c r="S87" s="371"/>
      <c r="T87" s="371"/>
      <c r="U87" s="371"/>
      <c r="V87" s="371"/>
      <c r="W87" s="371"/>
      <c r="X87" s="371"/>
      <c r="Y87" s="371"/>
    </row>
    <row r="88" spans="1:25" x14ac:dyDescent="0.25">
      <c r="N88" s="499"/>
      <c r="O88" s="512"/>
      <c r="P88" s="512"/>
      <c r="Q88" s="512"/>
      <c r="R88" s="512"/>
      <c r="S88" s="512"/>
      <c r="T88" s="512"/>
    </row>
    <row r="89" spans="1:25" x14ac:dyDescent="0.25">
      <c r="N89" s="499"/>
      <c r="O89" s="512"/>
      <c r="P89" s="512"/>
      <c r="Q89" s="512"/>
      <c r="R89" s="512"/>
      <c r="S89" s="512"/>
      <c r="T89" s="512"/>
    </row>
    <row r="99" spans="9:19" x14ac:dyDescent="0.25">
      <c r="P99" s="496"/>
      <c r="Q99" s="496"/>
      <c r="R99" s="496"/>
      <c r="S99" s="496"/>
    </row>
    <row r="100" spans="9:19" x14ac:dyDescent="0.25">
      <c r="P100" s="508"/>
      <c r="Q100" s="513"/>
      <c r="R100" s="509"/>
      <c r="S100" s="509"/>
    </row>
    <row r="101" spans="9:19" ht="9" customHeight="1" x14ac:dyDescent="0.25">
      <c r="Q101" s="510"/>
      <c r="R101" s="510"/>
      <c r="S101" s="510"/>
    </row>
    <row r="102" spans="9:19" ht="12" customHeight="1" x14ac:dyDescent="0.25">
      <c r="Q102" s="510"/>
      <c r="R102" s="510"/>
      <c r="S102" s="510"/>
    </row>
    <row r="103" spans="9:19" x14ac:dyDescent="0.25">
      <c r="I103" s="496"/>
      <c r="Q103" s="511"/>
      <c r="R103" s="512"/>
      <c r="S103" s="511"/>
    </row>
    <row r="104" spans="9:19" x14ac:dyDescent="0.25">
      <c r="Q104" s="511"/>
      <c r="R104" s="512"/>
      <c r="S104" s="511"/>
    </row>
    <row r="105" spans="9:19" x14ac:dyDescent="0.25">
      <c r="Q105" s="511"/>
      <c r="R105" s="512"/>
      <c r="S105" s="511"/>
    </row>
    <row r="106" spans="9:19" x14ac:dyDescent="0.25">
      <c r="Q106" s="511"/>
      <c r="R106" s="512"/>
      <c r="S106" s="511"/>
    </row>
    <row r="107" spans="9:19" x14ac:dyDescent="0.25">
      <c r="J107" s="496"/>
      <c r="K107" s="496"/>
      <c r="L107" s="496"/>
      <c r="Q107" s="511"/>
      <c r="R107" s="512"/>
      <c r="S107" s="511"/>
    </row>
    <row r="108" spans="9:19" x14ac:dyDescent="0.25">
      <c r="M108" s="496"/>
      <c r="N108" s="496"/>
      <c r="O108" s="496"/>
      <c r="P108" s="496"/>
      <c r="Q108" s="496"/>
      <c r="R108" s="496"/>
      <c r="S108" s="496"/>
    </row>
  </sheetData>
  <mergeCells count="6">
    <mergeCell ref="C58:F58"/>
    <mergeCell ref="C2:F2"/>
    <mergeCell ref="C3:F3"/>
    <mergeCell ref="C5:F5"/>
    <mergeCell ref="C15:F15"/>
    <mergeCell ref="C37:F37"/>
  </mergeCells>
  <dataValidations count="1">
    <dataValidation type="list" allowBlank="1" showInputMessage="1" showErrorMessage="1" sqref="G6">
      <formula1>$Y$3:$Y$12</formula1>
    </dataValidation>
  </dataValidations>
  <printOptions headings="1" gridLines="1"/>
  <pageMargins left="0.7" right="0.7" top="0.75" bottom="0.75" header="0.3" footer="0.3"/>
  <pageSetup paperSize="17" scale="86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OtherVariables!$A$265:$A$266</xm:f>
          </x14:formula1>
          <xm:sqref>F12</xm:sqref>
        </x14:dataValidation>
        <x14:dataValidation type="list" allowBlank="1" showInputMessage="1" showErrorMessage="1">
          <x14:formula1>
            <xm:f>OtherVariables!$P$24:$P$34</xm:f>
          </x14:formula1>
          <xm:sqref>F7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B121"/>
  <sheetViews>
    <sheetView showGridLines="0" topLeftCell="A100" zoomScale="85" zoomScaleNormal="85" workbookViewId="0">
      <selection activeCell="H121" sqref="A1:H121"/>
    </sheetView>
  </sheetViews>
  <sheetFormatPr defaultRowHeight="15" x14ac:dyDescent="0.25"/>
  <cols>
    <col min="1" max="1" width="2.5703125" style="165" customWidth="1"/>
    <col min="2" max="2" width="2.140625" style="165" customWidth="1"/>
    <col min="3" max="3" width="80.5703125" style="351" customWidth="1"/>
    <col min="4" max="5" width="16.42578125" style="165" customWidth="1"/>
    <col min="6" max="6" width="24.28515625" style="165" bestFit="1" customWidth="1"/>
    <col min="7" max="7" width="2" style="165" customWidth="1"/>
    <col min="8" max="8" width="2.28515625" style="165" customWidth="1"/>
    <col min="9" max="9" width="35.7109375" style="371" bestFit="1" customWidth="1"/>
    <col min="10" max="11" width="10.140625" style="371" customWidth="1"/>
    <col min="12" max="12" width="10" style="371" customWidth="1"/>
    <col min="13" max="15" width="9.140625" style="371"/>
    <col min="16" max="16" width="9.7109375" style="371" bestFit="1" customWidth="1"/>
    <col min="17" max="25" width="9.140625" style="371"/>
    <col min="26" max="27" width="9.140625" style="206"/>
    <col min="28" max="28" width="20.42578125" style="206" bestFit="1" customWidth="1"/>
    <col min="29" max="16384" width="9.140625" style="206"/>
  </cols>
  <sheetData>
    <row r="1" spans="1:28" ht="12.75" customHeight="1" x14ac:dyDescent="0.25">
      <c r="A1" s="368"/>
      <c r="B1" s="368"/>
      <c r="C1" s="368"/>
      <c r="D1" s="368"/>
      <c r="E1" s="368"/>
      <c r="F1" s="368"/>
      <c r="G1" s="368"/>
      <c r="H1" s="368"/>
    </row>
    <row r="2" spans="1:28" ht="10.5" customHeight="1" x14ac:dyDescent="0.25">
      <c r="A2" s="368"/>
      <c r="B2" s="367"/>
      <c r="C2" s="888"/>
      <c r="D2" s="888"/>
      <c r="E2" s="888"/>
      <c r="F2" s="888"/>
      <c r="G2" s="367"/>
      <c r="H2" s="368"/>
    </row>
    <row r="3" spans="1:28" ht="26.25" x14ac:dyDescent="0.25">
      <c r="A3" s="368"/>
      <c r="B3" s="171"/>
      <c r="C3" s="889" t="s">
        <v>379</v>
      </c>
      <c r="D3" s="889"/>
      <c r="E3" s="889"/>
      <c r="F3" s="889"/>
      <c r="G3" s="237"/>
      <c r="H3" s="368"/>
    </row>
    <row r="4" spans="1:28" x14ac:dyDescent="0.25">
      <c r="A4" s="368"/>
      <c r="B4" s="171"/>
      <c r="C4" s="3"/>
      <c r="D4"/>
      <c r="E4"/>
      <c r="F4"/>
      <c r="G4" s="172"/>
      <c r="H4" s="368"/>
      <c r="AB4" s="457"/>
    </row>
    <row r="5" spans="1:28" ht="15.75" x14ac:dyDescent="0.25">
      <c r="A5" s="368"/>
      <c r="B5" s="171"/>
      <c r="C5" s="890" t="s">
        <v>321</v>
      </c>
      <c r="D5" s="890"/>
      <c r="E5" s="890"/>
      <c r="F5" s="890"/>
      <c r="G5" s="136"/>
      <c r="H5" s="368"/>
      <c r="AB5" s="457"/>
    </row>
    <row r="6" spans="1:28" ht="15.75" x14ac:dyDescent="0.25">
      <c r="A6" s="368"/>
      <c r="B6" s="171"/>
      <c r="C6" s="355" t="s">
        <v>324</v>
      </c>
      <c r="D6" s="357"/>
      <c r="E6" s="359"/>
      <c r="F6" s="355" t="s">
        <v>326</v>
      </c>
      <c r="G6" s="199"/>
      <c r="H6" s="368"/>
      <c r="AB6" s="457"/>
    </row>
    <row r="7" spans="1:28" x14ac:dyDescent="0.25">
      <c r="A7" s="368"/>
      <c r="B7" s="171"/>
      <c r="C7" s="183" t="s">
        <v>331</v>
      </c>
      <c r="D7" s="70">
        <v>2015</v>
      </c>
      <c r="E7" s="70">
        <v>2025</v>
      </c>
      <c r="F7" s="70">
        <v>2020</v>
      </c>
      <c r="G7" s="245"/>
      <c r="H7" s="368"/>
      <c r="AB7" s="457"/>
    </row>
    <row r="8" spans="1:28" x14ac:dyDescent="0.25">
      <c r="A8" s="368"/>
      <c r="B8" s="462"/>
      <c r="C8" s="449" t="s">
        <v>23</v>
      </c>
      <c r="D8" s="38"/>
      <c r="E8" s="38"/>
      <c r="F8" s="38">
        <v>2</v>
      </c>
      <c r="G8" s="245"/>
      <c r="H8" s="368"/>
      <c r="AB8" s="457"/>
    </row>
    <row r="9" spans="1:28" x14ac:dyDescent="0.25">
      <c r="A9" s="368"/>
      <c r="B9" s="462"/>
      <c r="C9" s="173"/>
      <c r="D9" s="134"/>
      <c r="E9" s="134"/>
      <c r="F9" s="134"/>
      <c r="G9" s="245"/>
      <c r="H9" s="368"/>
      <c r="AB9" s="457"/>
    </row>
    <row r="10" spans="1:28" x14ac:dyDescent="0.25">
      <c r="A10" s="368"/>
      <c r="B10" s="171"/>
      <c r="C10" s="449" t="s">
        <v>378</v>
      </c>
      <c r="D10" s="37"/>
      <c r="E10" s="37"/>
      <c r="F10" s="37">
        <v>8391</v>
      </c>
      <c r="G10" s="344"/>
      <c r="H10" s="368"/>
      <c r="AB10" s="457"/>
    </row>
    <row r="11" spans="1:28" x14ac:dyDescent="0.25">
      <c r="A11" s="368"/>
      <c r="B11" s="171"/>
      <c r="C11" s="321" t="s">
        <v>121</v>
      </c>
      <c r="D11" s="37"/>
      <c r="E11" s="37"/>
      <c r="F11" s="37">
        <v>1500</v>
      </c>
      <c r="G11" s="344"/>
      <c r="H11" s="368"/>
      <c r="AB11" s="457"/>
    </row>
    <row r="12" spans="1:28" x14ac:dyDescent="0.25">
      <c r="A12" s="368"/>
      <c r="B12" s="171"/>
      <c r="C12" s="321" t="s">
        <v>126</v>
      </c>
      <c r="D12" s="37"/>
      <c r="E12" s="37"/>
      <c r="F12" s="37">
        <v>35</v>
      </c>
      <c r="G12" s="344"/>
      <c r="H12" s="368"/>
      <c r="J12" s="496"/>
      <c r="K12" s="496"/>
      <c r="L12" s="496"/>
    </row>
    <row r="13" spans="1:28" x14ac:dyDescent="0.25">
      <c r="A13" s="368"/>
      <c r="B13" s="171"/>
      <c r="C13" s="449" t="s">
        <v>190</v>
      </c>
      <c r="D13" s="37"/>
      <c r="E13" s="37"/>
      <c r="F13" s="39">
        <v>7</v>
      </c>
      <c r="G13" s="245"/>
      <c r="H13" s="368"/>
      <c r="J13" s="496"/>
      <c r="K13" s="495"/>
      <c r="L13" s="496"/>
    </row>
    <row r="14" spans="1:28" x14ac:dyDescent="0.25">
      <c r="A14" s="368"/>
      <c r="B14" s="171"/>
      <c r="C14" s="321" t="s">
        <v>25</v>
      </c>
      <c r="D14" s="37"/>
      <c r="E14" s="37"/>
      <c r="F14" s="42" t="s">
        <v>21</v>
      </c>
      <c r="G14" s="324"/>
      <c r="H14" s="368"/>
      <c r="J14" s="496"/>
      <c r="K14" s="495"/>
      <c r="L14" s="496"/>
    </row>
    <row r="15" spans="1:28" x14ac:dyDescent="0.25">
      <c r="A15" s="368"/>
      <c r="B15" s="724"/>
      <c r="C15" s="321" t="s">
        <v>656</v>
      </c>
      <c r="D15" s="749"/>
      <c r="E15" s="749"/>
      <c r="F15" s="39" t="s">
        <v>507</v>
      </c>
      <c r="G15" s="245"/>
      <c r="H15" s="368"/>
      <c r="AB15" s="457"/>
    </row>
    <row r="16" spans="1:28" x14ac:dyDescent="0.25">
      <c r="A16" s="368"/>
      <c r="B16" s="171"/>
      <c r="C16" s="1027" t="s">
        <v>185</v>
      </c>
      <c r="D16" s="1027"/>
      <c r="E16" s="1027"/>
      <c r="F16" s="1027"/>
      <c r="G16" s="453"/>
      <c r="H16" s="368"/>
      <c r="AB16" s="457"/>
    </row>
    <row r="17" spans="1:28" x14ac:dyDescent="0.25">
      <c r="A17" s="368"/>
      <c r="B17" s="171"/>
      <c r="C17" s="449" t="s">
        <v>377</v>
      </c>
      <c r="D17" s="37">
        <f>F17</f>
        <v>0</v>
      </c>
      <c r="E17" s="37">
        <f>F17</f>
        <v>0</v>
      </c>
      <c r="F17" s="37"/>
      <c r="G17" s="344"/>
      <c r="H17" s="368"/>
      <c r="J17" s="496"/>
      <c r="AB17" s="457"/>
    </row>
    <row r="18" spans="1:28" x14ac:dyDescent="0.25">
      <c r="A18" s="368"/>
      <c r="B18" s="171"/>
      <c r="C18" s="449" t="s">
        <v>607</v>
      </c>
      <c r="D18" s="37"/>
      <c r="E18" s="37"/>
      <c r="F18" s="37"/>
      <c r="G18" s="344"/>
      <c r="H18" s="368"/>
      <c r="AB18" s="457"/>
    </row>
    <row r="19" spans="1:28" x14ac:dyDescent="0.25">
      <c r="A19" s="368"/>
      <c r="B19" s="171"/>
      <c r="C19" s="355" t="s">
        <v>195</v>
      </c>
      <c r="D19" s="199"/>
      <c r="E19" s="199"/>
      <c r="F19" s="199"/>
      <c r="G19" s="199"/>
      <c r="H19" s="368"/>
      <c r="AB19" s="457"/>
    </row>
    <row r="20" spans="1:28" x14ac:dyDescent="0.25">
      <c r="A20" s="368"/>
      <c r="B20" s="171"/>
      <c r="C20" s="191" t="s">
        <v>197</v>
      </c>
      <c r="D20" s="42"/>
      <c r="E20" s="42"/>
      <c r="F20" s="42" t="s">
        <v>21</v>
      </c>
      <c r="G20" s="324"/>
      <c r="H20" s="368"/>
      <c r="J20" s="496"/>
      <c r="AB20" s="457"/>
    </row>
    <row r="21" spans="1:28" x14ac:dyDescent="0.25">
      <c r="A21" s="368"/>
      <c r="B21" s="171"/>
      <c r="C21" s="191" t="s">
        <v>447</v>
      </c>
      <c r="D21" s="41"/>
      <c r="E21" s="41"/>
      <c r="F21" s="41">
        <v>1.8</v>
      </c>
      <c r="G21" s="335"/>
      <c r="H21" s="368"/>
      <c r="I21" s="541"/>
      <c r="AB21" s="457"/>
    </row>
    <row r="22" spans="1:28" x14ac:dyDescent="0.25">
      <c r="A22" s="368"/>
      <c r="B22" s="171"/>
      <c r="C22" s="355" t="s">
        <v>196</v>
      </c>
      <c r="D22" s="199"/>
      <c r="E22" s="199"/>
      <c r="F22" s="199"/>
      <c r="G22" s="199"/>
      <c r="H22" s="368"/>
      <c r="AB22" s="457"/>
    </row>
    <row r="23" spans="1:28" x14ac:dyDescent="0.25">
      <c r="A23" s="368"/>
      <c r="B23" s="171"/>
      <c r="C23" s="191" t="s">
        <v>197</v>
      </c>
      <c r="D23" s="42"/>
      <c r="E23" s="42"/>
      <c r="F23" s="42" t="s">
        <v>21</v>
      </c>
      <c r="G23" s="324"/>
      <c r="H23" s="368"/>
      <c r="J23" s="496"/>
      <c r="AB23" s="457"/>
    </row>
    <row r="24" spans="1:28" x14ac:dyDescent="0.25">
      <c r="A24" s="368"/>
      <c r="B24" s="171"/>
      <c r="C24" s="191" t="s">
        <v>448</v>
      </c>
      <c r="D24" s="41"/>
      <c r="E24" s="41"/>
      <c r="F24" s="41">
        <v>0.98</v>
      </c>
      <c r="G24" s="335"/>
      <c r="H24" s="368"/>
      <c r="K24" s="495"/>
      <c r="L24" s="496"/>
    </row>
    <row r="25" spans="1:28" x14ac:dyDescent="0.25">
      <c r="A25" s="368"/>
      <c r="B25" s="171"/>
      <c r="C25" s="6"/>
      <c r="D25" s="7"/>
      <c r="E25" s="7"/>
      <c r="F25" s="7"/>
      <c r="G25" s="7"/>
      <c r="H25" s="368"/>
      <c r="K25" s="495"/>
      <c r="L25" s="496"/>
    </row>
    <row r="26" spans="1:28" ht="15.75" x14ac:dyDescent="0.25">
      <c r="A26" s="368"/>
      <c r="B26" s="171"/>
      <c r="C26" s="890" t="s">
        <v>320</v>
      </c>
      <c r="D26" s="890"/>
      <c r="E26" s="890"/>
      <c r="F26" s="890"/>
      <c r="G26" s="7"/>
      <c r="H26" s="368"/>
      <c r="L26" s="497"/>
      <c r="M26" s="498"/>
    </row>
    <row r="27" spans="1:28" x14ac:dyDescent="0.25">
      <c r="A27" s="368"/>
      <c r="B27" s="171"/>
      <c r="C27" s="450" t="s">
        <v>1</v>
      </c>
      <c r="D27" s="172"/>
      <c r="E27" s="172"/>
      <c r="F27" s="172"/>
      <c r="G27" s="173"/>
      <c r="H27" s="368"/>
      <c r="L27" s="497"/>
      <c r="M27" s="498"/>
    </row>
    <row r="28" spans="1:28" x14ac:dyDescent="0.25">
      <c r="A28" s="368"/>
      <c r="B28" s="171"/>
      <c r="C28" s="183" t="s">
        <v>12</v>
      </c>
      <c r="D28" s="9"/>
      <c r="E28" s="9"/>
      <c r="F28" s="9">
        <f>IF(F13&gt;3,IF(F13&gt;6,OtherVariables!$C$211,OtherVariables!$C$210),OtherVariables!$C$209)</f>
        <v>1.5E-3</v>
      </c>
      <c r="G28" s="330"/>
      <c r="H28" s="368"/>
    </row>
    <row r="29" spans="1:28" x14ac:dyDescent="0.25">
      <c r="A29" s="368"/>
      <c r="B29" s="171"/>
      <c r="C29" s="183" t="s">
        <v>10</v>
      </c>
      <c r="D29" s="9"/>
      <c r="E29" s="9"/>
      <c r="F29" s="9">
        <f>IF(F14="N",INDEX(OtherVariables!$B$201:$E$203,IF(F10&lt;OtherVariables!$B$201,1,IF(F10&lt;OtherVariables!$B$202,2,3)),IF(F8&lt;1,2,IF(F8&lt;2,3,4))),INDEX(OtherVariables!$H$201:$K$203,IF(F10&lt;OtherVariables!$B$201,1,IF(F10&lt;OtherVariables!$B$202,2,3)),IF(F8&lt;1,2,IF(F8&lt;2,3,4))))</f>
        <v>2.07E-2</v>
      </c>
      <c r="G29" s="330"/>
      <c r="H29" s="368"/>
    </row>
    <row r="30" spans="1:28" x14ac:dyDescent="0.25">
      <c r="A30" s="368"/>
      <c r="B30" s="171"/>
      <c r="C30" s="204" t="s">
        <v>24</v>
      </c>
      <c r="D30" s="9"/>
      <c r="E30" s="9"/>
      <c r="F30" s="9">
        <v>0.91</v>
      </c>
      <c r="G30" s="330"/>
      <c r="H30" s="368"/>
    </row>
    <row r="31" spans="1:28" x14ac:dyDescent="0.25">
      <c r="A31" s="368"/>
      <c r="B31" s="171"/>
      <c r="C31" s="205" t="s">
        <v>68</v>
      </c>
      <c r="D31" s="18"/>
      <c r="E31" s="18"/>
      <c r="F31" s="18">
        <v>250</v>
      </c>
      <c r="G31" s="334"/>
      <c r="H31" s="368"/>
    </row>
    <row r="32" spans="1:28" x14ac:dyDescent="0.25">
      <c r="A32" s="368"/>
      <c r="B32" s="171"/>
      <c r="C32" s="205" t="s">
        <v>122</v>
      </c>
      <c r="D32" s="45"/>
      <c r="E32" s="45"/>
      <c r="F32" s="45">
        <v>0.1</v>
      </c>
      <c r="G32" s="327"/>
      <c r="H32" s="368"/>
    </row>
    <row r="33" spans="1:8" x14ac:dyDescent="0.25">
      <c r="A33" s="368"/>
      <c r="B33" s="171"/>
      <c r="C33" s="205" t="s">
        <v>198</v>
      </c>
      <c r="D33" s="124"/>
      <c r="E33" s="124"/>
      <c r="F33" s="124">
        <f>VLOOKUP(F15,OtherVariables!$J$183:$L$193,2,FALSE)</f>
        <v>1.1100000000000001</v>
      </c>
      <c r="G33" s="339"/>
      <c r="H33" s="368"/>
    </row>
    <row r="34" spans="1:8" x14ac:dyDescent="0.25">
      <c r="A34" s="368"/>
      <c r="B34" s="171"/>
      <c r="C34" s="205" t="s">
        <v>199</v>
      </c>
      <c r="D34" s="124"/>
      <c r="E34" s="124"/>
      <c r="F34" s="124">
        <f>VLOOKUP(F15,OtherVariables!$J$183:$L$193,3,FALSE)</f>
        <v>5</v>
      </c>
      <c r="G34" s="339"/>
      <c r="H34" s="368"/>
    </row>
    <row r="35" spans="1:8" x14ac:dyDescent="0.25">
      <c r="A35" s="368"/>
      <c r="B35" s="171"/>
      <c r="C35" s="205" t="s">
        <v>373</v>
      </c>
      <c r="D35" s="451"/>
      <c r="E35" s="451"/>
      <c r="F35" s="451">
        <v>0.11</v>
      </c>
      <c r="G35" s="454"/>
      <c r="H35" s="368"/>
    </row>
    <row r="36" spans="1:8" x14ac:dyDescent="0.25">
      <c r="A36" s="368"/>
      <c r="B36" s="171"/>
      <c r="C36" s="205" t="s">
        <v>374</v>
      </c>
      <c r="D36" s="451"/>
      <c r="E36" s="451"/>
      <c r="F36" s="451">
        <v>0.08</v>
      </c>
      <c r="G36" s="454"/>
      <c r="H36" s="368"/>
    </row>
    <row r="37" spans="1:8" x14ac:dyDescent="0.25">
      <c r="A37" s="368"/>
      <c r="B37" s="171"/>
      <c r="C37" s="450" t="s">
        <v>250</v>
      </c>
      <c r="D37" s="172"/>
      <c r="E37" s="172"/>
      <c r="F37" s="172"/>
      <c r="G37" s="330"/>
      <c r="H37" s="368"/>
    </row>
    <row r="38" spans="1:8" x14ac:dyDescent="0.25">
      <c r="A38" s="368"/>
      <c r="B38" s="171"/>
      <c r="C38" s="196" t="s">
        <v>245</v>
      </c>
      <c r="D38" s="123">
        <f>'2015ER'!I5</f>
        <v>384.35859582077808</v>
      </c>
      <c r="E38" s="123">
        <f>'2025ER'!I5</f>
        <v>290.30625699533425</v>
      </c>
      <c r="F38" s="106">
        <f>TREND(D38:E38,$D$7:$E$7,$F$7)</f>
        <v>337.33242640805474</v>
      </c>
      <c r="G38" s="455"/>
      <c r="H38" s="368"/>
    </row>
    <row r="39" spans="1:8" x14ac:dyDescent="0.25">
      <c r="A39" s="368"/>
      <c r="B39" s="171"/>
      <c r="C39" s="196" t="s">
        <v>246</v>
      </c>
      <c r="D39" s="123">
        <f>'2015ER'!I22</f>
        <v>0.48807710252131187</v>
      </c>
      <c r="E39" s="123">
        <f>'2025ER'!I22</f>
        <v>0.11613536328169603</v>
      </c>
      <c r="F39" s="106">
        <f>TREND(D39:E39,$D$7:$E$7,$F$7)</f>
        <v>0.30210623290150806</v>
      </c>
      <c r="G39" s="455"/>
      <c r="H39" s="368"/>
    </row>
    <row r="40" spans="1:8" x14ac:dyDescent="0.25">
      <c r="A40" s="368"/>
      <c r="B40" s="171"/>
      <c r="C40" s="196" t="s">
        <v>247</v>
      </c>
      <c r="D40" s="123">
        <f>'2015ER'!I39</f>
        <v>4.309459763167052E-3</v>
      </c>
      <c r="E40" s="123">
        <f>'2025ER'!I39</f>
        <v>3.1367318849430999E-3</v>
      </c>
      <c r="F40" s="106">
        <f>TREND(D40:E40,$D$7:$E$7,$F$7)</f>
        <v>3.7230958240550838E-3</v>
      </c>
      <c r="G40" s="455"/>
      <c r="H40" s="368"/>
    </row>
    <row r="41" spans="1:8" x14ac:dyDescent="0.25">
      <c r="A41" s="368"/>
      <c r="B41" s="171"/>
      <c r="C41" s="196" t="s">
        <v>248</v>
      </c>
      <c r="D41" s="123">
        <f>'2015ER'!I56</f>
        <v>0.50704072211337847</v>
      </c>
      <c r="E41" s="123">
        <f>'2025ER'!I56</f>
        <v>0.12081631645733369</v>
      </c>
      <c r="F41" s="106">
        <f>TREND(D41:E41,$D$7:$E$7,$F$7)</f>
        <v>0.31392851928535492</v>
      </c>
      <c r="G41" s="455"/>
      <c r="H41" s="368"/>
    </row>
    <row r="42" spans="1:8" x14ac:dyDescent="0.25">
      <c r="A42" s="368"/>
      <c r="B42" s="171"/>
      <c r="C42" s="196" t="s">
        <v>249</v>
      </c>
      <c r="D42" s="123">
        <f>'2015ER'!I73</f>
        <v>0.17607364566569073</v>
      </c>
      <c r="E42" s="123">
        <f>'2025ER'!I73</f>
        <v>5.8881363050891991E-2</v>
      </c>
      <c r="F42" s="106">
        <f>TREND(D42:E42,$D$7:$E$7,$F$7)</f>
        <v>0.11747750435829118</v>
      </c>
      <c r="G42" s="455"/>
      <c r="H42" s="368"/>
    </row>
    <row r="43" spans="1:8" x14ac:dyDescent="0.25">
      <c r="A43" s="368"/>
      <c r="B43" s="724"/>
      <c r="C43" s="196" t="s">
        <v>602</v>
      </c>
      <c r="D43" s="123">
        <f>'2015ER'!I90</f>
        <v>7.5744678560726551E-3</v>
      </c>
      <c r="E43" s="123">
        <f>'2025ER'!I90</f>
        <v>1.9717038466033725E-3</v>
      </c>
      <c r="F43" s="106">
        <f t="shared" ref="F43:F44" si="0">TREND(D43:E43,$D$7:$E$7,$F$7)</f>
        <v>4.7730858513379548E-3</v>
      </c>
      <c r="G43" s="455"/>
      <c r="H43" s="368"/>
    </row>
    <row r="44" spans="1:8" x14ac:dyDescent="0.25">
      <c r="A44" s="368"/>
      <c r="B44" s="724"/>
      <c r="C44" s="196" t="s">
        <v>603</v>
      </c>
      <c r="D44" s="123">
        <f>'2015ER'!I107</f>
        <v>3.4175996409530245</v>
      </c>
      <c r="E44" s="123">
        <f>'2025ER'!I107</f>
        <v>1.9793621561003352</v>
      </c>
      <c r="F44" s="106">
        <f t="shared" si="0"/>
        <v>2.6984808985266682</v>
      </c>
      <c r="G44" s="455"/>
      <c r="H44" s="368"/>
    </row>
    <row r="45" spans="1:8" x14ac:dyDescent="0.25">
      <c r="A45" s="368"/>
      <c r="B45" s="172"/>
      <c r="C45" s="311"/>
      <c r="D45" s="146"/>
      <c r="E45" s="146"/>
      <c r="F45" s="455"/>
      <c r="G45" s="455"/>
      <c r="H45" s="368"/>
    </row>
    <row r="46" spans="1:8" ht="15.75" x14ac:dyDescent="0.25">
      <c r="A46" s="368"/>
      <c r="B46" s="171"/>
      <c r="C46" s="890" t="s">
        <v>317</v>
      </c>
      <c r="D46" s="890"/>
      <c r="E46" s="890"/>
      <c r="F46" s="890"/>
      <c r="G46" s="12"/>
      <c r="H46" s="368"/>
    </row>
    <row r="47" spans="1:8" ht="15.75" x14ac:dyDescent="0.25">
      <c r="A47" s="368"/>
      <c r="B47" s="171"/>
      <c r="C47" s="358" t="s">
        <v>324</v>
      </c>
      <c r="D47" s="357"/>
      <c r="E47" s="359"/>
      <c r="F47" s="358" t="s">
        <v>323</v>
      </c>
      <c r="G47" s="173"/>
      <c r="H47" s="368"/>
    </row>
    <row r="48" spans="1:8" x14ac:dyDescent="0.25">
      <c r="A48" s="368"/>
      <c r="B48" s="171"/>
      <c r="C48" s="205" t="s">
        <v>450</v>
      </c>
      <c r="D48" s="14"/>
      <c r="E48" s="14"/>
      <c r="F48" s="14">
        <f>IF(F17&gt;0,"",IF(F20="Y",(F31*F10*(F28+F29)), 0))</f>
        <v>46570.05</v>
      </c>
      <c r="G48" s="25"/>
      <c r="H48" s="368"/>
    </row>
    <row r="49" spans="1:20" x14ac:dyDescent="0.25">
      <c r="A49" s="368"/>
      <c r="B49" s="171"/>
      <c r="C49" s="205" t="s">
        <v>453</v>
      </c>
      <c r="D49" s="14"/>
      <c r="E49" s="14"/>
      <c r="F49" s="14">
        <f>IF(F17&gt;0,"",IF(F23="Y",(F10*F30*(F28+F29))*F31,0))</f>
        <v>42378.745499999997</v>
      </c>
      <c r="G49" s="25"/>
      <c r="H49" s="368"/>
    </row>
    <row r="50" spans="1:20" x14ac:dyDescent="0.25">
      <c r="A50" s="368"/>
      <c r="B50" s="171"/>
      <c r="C50" s="205" t="s">
        <v>451</v>
      </c>
      <c r="D50" s="14"/>
      <c r="E50" s="14"/>
      <c r="F50" s="14">
        <f>IF(F17&gt;0,((F17*F35)+(F18*F36))*F31,SUM(F48:F49))</f>
        <v>88948.795500000007</v>
      </c>
      <c r="G50" s="25"/>
      <c r="H50" s="368"/>
    </row>
    <row r="51" spans="1:20" x14ac:dyDescent="0.25">
      <c r="A51" s="368"/>
      <c r="B51" s="171"/>
      <c r="C51" s="205" t="s">
        <v>452</v>
      </c>
      <c r="D51" s="14"/>
      <c r="E51" s="14"/>
      <c r="F51" s="14">
        <f>F50/F31</f>
        <v>355.79518200000001</v>
      </c>
      <c r="G51" s="25"/>
      <c r="H51" s="368"/>
    </row>
    <row r="52" spans="1:20" x14ac:dyDescent="0.25">
      <c r="A52" s="368"/>
      <c r="B52" s="171"/>
      <c r="C52" s="205" t="s">
        <v>124</v>
      </c>
      <c r="D52" s="14"/>
      <c r="E52" s="14"/>
      <c r="F52" s="14">
        <f>F51*F32</f>
        <v>35.579518200000003</v>
      </c>
      <c r="G52" s="25"/>
      <c r="H52" s="368"/>
    </row>
    <row r="53" spans="1:20" x14ac:dyDescent="0.25">
      <c r="A53" s="368"/>
      <c r="B53" s="171"/>
      <c r="C53" s="205" t="s">
        <v>127</v>
      </c>
      <c r="D53" s="68"/>
      <c r="E53" s="68"/>
      <c r="F53" s="68">
        <f>IF(F17&gt;0,"",F8*60/F12)</f>
        <v>3.4285714285714284</v>
      </c>
      <c r="G53" s="333"/>
      <c r="H53" s="368"/>
    </row>
    <row r="54" spans="1:20" x14ac:dyDescent="0.25">
      <c r="A54" s="368"/>
      <c r="B54" s="171"/>
      <c r="C54" s="205" t="s">
        <v>123</v>
      </c>
      <c r="D54" s="67"/>
      <c r="E54" s="67"/>
      <c r="F54" s="67">
        <f>IF(F$17&gt;0,"",(F10*F32)/F11)</f>
        <v>0.55940000000000001</v>
      </c>
      <c r="G54" s="340"/>
      <c r="H54" s="368"/>
    </row>
    <row r="55" spans="1:20" x14ac:dyDescent="0.25">
      <c r="A55" s="368"/>
      <c r="B55" s="171"/>
      <c r="C55" s="205" t="s">
        <v>125</v>
      </c>
      <c r="D55" s="17"/>
      <c r="E55" s="17"/>
      <c r="F55" s="17">
        <f>IF(F$17&gt;0,"",((F10*F32)-F52)/F11)</f>
        <v>0.53568032119999998</v>
      </c>
      <c r="G55" s="341"/>
      <c r="H55" s="368"/>
    </row>
    <row r="56" spans="1:20" x14ac:dyDescent="0.25">
      <c r="A56" s="368"/>
      <c r="B56" s="171"/>
      <c r="C56" s="205" t="s">
        <v>215</v>
      </c>
      <c r="D56" s="67"/>
      <c r="E56" s="67"/>
      <c r="F56" s="67">
        <f>IF(F17&gt;0,"",F53*(1+F33*((F54)^F34)))</f>
        <v>3.6370437923288614</v>
      </c>
      <c r="G56" s="340"/>
      <c r="H56" s="368"/>
      <c r="N56" s="499"/>
      <c r="O56" s="512"/>
      <c r="P56" s="512"/>
      <c r="Q56" s="512"/>
      <c r="R56" s="512"/>
      <c r="S56" s="512"/>
      <c r="T56" s="512"/>
    </row>
    <row r="57" spans="1:20" x14ac:dyDescent="0.25">
      <c r="A57" s="368"/>
      <c r="B57" s="171"/>
      <c r="C57" s="193" t="s">
        <v>216</v>
      </c>
      <c r="D57" s="69"/>
      <c r="E57" s="69"/>
      <c r="F57" s="69">
        <f>IF(F17&gt;0,"",F53*(1+F33*((F55)^F34)))</f>
        <v>3.596438163148429</v>
      </c>
      <c r="G57" s="342"/>
      <c r="H57" s="368"/>
      <c r="N57" s="499"/>
      <c r="O57" s="512"/>
      <c r="P57" s="512"/>
      <c r="Q57" s="512"/>
      <c r="R57" s="512"/>
      <c r="S57" s="512"/>
      <c r="T57" s="512"/>
    </row>
    <row r="58" spans="1:20" x14ac:dyDescent="0.25">
      <c r="A58" s="368"/>
      <c r="B58" s="171"/>
      <c r="C58" s="205" t="s">
        <v>232</v>
      </c>
      <c r="D58" s="69">
        <f>F58</f>
        <v>32.993828738906096</v>
      </c>
      <c r="E58" s="69">
        <f>F58</f>
        <v>32.993828738906096</v>
      </c>
      <c r="F58" s="69">
        <f>IF(F17&gt;0,"",F$8/(F56/60))</f>
        <v>32.993828738906096</v>
      </c>
      <c r="G58" s="342"/>
      <c r="H58" s="368"/>
      <c r="N58" s="499"/>
      <c r="O58" s="512"/>
      <c r="P58" s="512"/>
      <c r="Q58" s="512"/>
      <c r="R58" s="512"/>
      <c r="S58" s="512"/>
      <c r="T58" s="512"/>
    </row>
    <row r="59" spans="1:20" x14ac:dyDescent="0.25">
      <c r="A59" s="368"/>
      <c r="B59" s="171"/>
      <c r="C59" s="193" t="s">
        <v>233</v>
      </c>
      <c r="D59" s="69">
        <f>F59</f>
        <v>33.366345966851945</v>
      </c>
      <c r="E59" s="69">
        <f>F59</f>
        <v>33.366345966851945</v>
      </c>
      <c r="F59" s="69">
        <f>IF(F17&gt;0,"",F$8/(F57/60))</f>
        <v>33.366345966851945</v>
      </c>
      <c r="G59" s="342"/>
      <c r="H59" s="368"/>
      <c r="N59" s="499"/>
      <c r="O59" s="512"/>
      <c r="P59" s="512"/>
      <c r="Q59" s="512"/>
      <c r="R59" s="512"/>
      <c r="S59" s="512"/>
      <c r="T59" s="512"/>
    </row>
    <row r="60" spans="1:20" ht="15.75" x14ac:dyDescent="0.25">
      <c r="A60" s="368"/>
      <c r="B60" s="171"/>
      <c r="C60" s="358" t="s">
        <v>210</v>
      </c>
      <c r="D60" s="357"/>
      <c r="E60" s="359"/>
      <c r="F60" s="358"/>
      <c r="G60" s="173"/>
      <c r="H60" s="368"/>
      <c r="N60" s="499"/>
      <c r="O60" s="512"/>
      <c r="P60" s="512"/>
      <c r="Q60" s="512"/>
      <c r="R60" s="512"/>
      <c r="S60" s="512"/>
      <c r="T60" s="512"/>
    </row>
    <row r="61" spans="1:20" x14ac:dyDescent="0.25">
      <c r="A61" s="368"/>
      <c r="B61" s="171"/>
      <c r="C61" s="193" t="s">
        <v>643</v>
      </c>
      <c r="D61" s="13">
        <f>IF($F$17&gt;0,"",LOOKUP(ROUNDDOWN($D$58/5, 0)*5,'2015ER'!$D$6:$D$21,'2015ER'!$H$6:$H$21)+(($D$58-ROUNDDOWN($D$58/5, 0)*5)/5)*(LOOKUP(ROUNDUP($D$58/5, 0)*5,'2015ER'!$D$6:$D$21,'2015ER'!$H$6:$H$21)-LOOKUP(ROUNDDOWN($D$58/5, 0)*5,'2015ER'!$D$6:$D$21,'2015ER'!$H$6:$H$21)))</f>
        <v>384.83300152377592</v>
      </c>
      <c r="E61" s="13">
        <f>IF($F$17&gt;0,"",LOOKUP(ROUNDDOWN($E$58/5, 0)*5,'2025ER'!$D$6:$D$21,'2025ER'!$H$6:$H$21)+(($E$58-ROUNDDOWN($E$58/5, 0)*5)/5)*(LOOKUP(ROUNDUP($E$58/5, 0)*5,'2025ER'!$D$6:$D$21,'2025ER'!$H$6:$H$21)-LOOKUP(ROUNDDOWN($E$58/5, 0)*5,'2025ER'!$D$6:$D$21,'2025ER'!$H$6:$H$21)))</f>
        <v>290.47884136304282</v>
      </c>
      <c r="F61" s="13">
        <f t="shared" ref="F61:F67" si="1">IF($F$17&gt;0,"",TREND(D61:E61,$D$7:$E$7,$F$7))</f>
        <v>337.65592144340917</v>
      </c>
      <c r="G61" s="332"/>
      <c r="H61" s="368"/>
      <c r="N61" s="499"/>
      <c r="O61" s="512"/>
      <c r="P61" s="512"/>
      <c r="Q61" s="512"/>
      <c r="R61" s="512"/>
      <c r="S61" s="512"/>
      <c r="T61" s="512"/>
    </row>
    <row r="62" spans="1:20" x14ac:dyDescent="0.25">
      <c r="A62" s="368"/>
      <c r="B62" s="171"/>
      <c r="C62" s="193" t="s">
        <v>181</v>
      </c>
      <c r="D62" s="69">
        <f>IF($F$17&gt;0,"",LOOKUP(ROUNDDOWN($D$58/5, 0)*5,'2015ER'!$D$23:$D$38,'2015ER'!$H$23:$H$38)+(($D$58-ROUNDDOWN($D$58/5, 0)*5)/5)*(LOOKUP(ROUNDUP($D$58/5, 0)*5,'2015ER'!$D$23:$D$38,'2015ER'!$H$23:$H$38)-LOOKUP(ROUNDDOWN($D$58/5, 0)*5,'2015ER'!$D$23:$D$38,'2015ER'!$H$23:$H$38)))</f>
        <v>0.44436815404771135</v>
      </c>
      <c r="E62" s="69">
        <f>IF($F$17&gt;0,"",LOOKUP(ROUNDDOWN($E$58/5, 0)*5,'2025ER'!$D$23:$D$38,'2025ER'!$H$23:$H$38)+(($E$58-ROUNDDOWN($E$58/5, 0)*5)/5)*(LOOKUP(ROUNDUP($E$58/5, 0)*5,'2025ER'!$D$23:$D$38,'2025ER'!$H$23:$H$38)-LOOKUP(ROUNDDOWN($E$58/5, 0)*5,'2025ER'!$D$23:$D$38,'2025ER'!$H$23:$H$38)))</f>
        <v>9.9472313930572556E-2</v>
      </c>
      <c r="F62" s="69">
        <f t="shared" si="1"/>
        <v>0.27192023398913534</v>
      </c>
      <c r="G62" s="342"/>
      <c r="H62" s="368"/>
      <c r="N62" s="499"/>
      <c r="O62" s="512"/>
      <c r="P62" s="512"/>
      <c r="Q62" s="512"/>
      <c r="R62" s="512"/>
      <c r="S62" s="512"/>
      <c r="T62" s="512"/>
    </row>
    <row r="63" spans="1:20" x14ac:dyDescent="0.25">
      <c r="A63" s="368"/>
      <c r="B63" s="171"/>
      <c r="C63" s="193" t="s">
        <v>200</v>
      </c>
      <c r="D63" s="69">
        <f>IF($F$17&gt;0,"",LOOKUP(ROUNDDOWN($D$58/5, 0)*5,'2015ER'!$D$40:$D$55,'2015ER'!$H$40:$H$55)+(($D$58-ROUNDDOWN($D$58/5, 0)*5)/5)*(LOOKUP(ROUNDUP($D$58/5, 0)*5,'2015ER'!$D$40:$D$55,'2015ER'!$H$40:$H$55)-LOOKUP(ROUNDDOWN($D$58/5, 0)*5,'2015ER'!$D$40:$D$55,'2015ER'!$H$40:$H$55)))</f>
        <v>4.2846463583848917E-3</v>
      </c>
      <c r="E63" s="69">
        <f>IF($F$17&gt;0,"",LOOKUP(ROUNDDOWN($E$58/5, 0)*5,'2025ER'!$D$40:$D$55,'2025ER'!$H$40:$H$55)+(($E$58-ROUNDDOWN($E$58/5, 0)*5)/5)*(LOOKUP(ROUNDUP($E$58/5, 0)*5,'2025ER'!$D$40:$D$55,'2025ER'!$H$40:$H$55)-LOOKUP(ROUNDDOWN($E$58/5, 0)*5,'2025ER'!$D$40:$D$55,'2025ER'!$H$40:$H$55)))</f>
        <v>3.3793572992936193E-3</v>
      </c>
      <c r="F63" s="69">
        <f t="shared" si="1"/>
        <v>3.8320018288392488E-3</v>
      </c>
      <c r="G63" s="342"/>
      <c r="H63" s="368"/>
      <c r="N63" s="499"/>
      <c r="O63" s="512"/>
      <c r="P63" s="512"/>
      <c r="Q63" s="512"/>
      <c r="R63" s="512"/>
      <c r="S63" s="512"/>
      <c r="T63" s="512"/>
    </row>
    <row r="64" spans="1:20" x14ac:dyDescent="0.25">
      <c r="A64" s="368"/>
      <c r="B64" s="171"/>
      <c r="C64" s="193" t="s">
        <v>224</v>
      </c>
      <c r="D64" s="69">
        <f>IF($F$17&gt;0,"",LOOKUP(ROUNDDOWN($D$58/5, 0)*5,'2015ER'!$D$57:$D$72,'2015ER'!$H$57:$H$72)+(($D$58-ROUNDDOWN($D$58/5, 0)*5)/5)*(LOOKUP(ROUNDUP($D$58/5, 0)*5,'2015ER'!$D$57:$D$72,'2015ER'!$H$57:$H$72)-LOOKUP(ROUNDDOWN($D$58/5, 0)*5,'2015ER'!$D$57:$D$72,'2015ER'!$H$57:$H$72)))</f>
        <v>0.44653061900807717</v>
      </c>
      <c r="E64" s="69">
        <f>IF($F$17&gt;0,"",LOOKUP(ROUNDDOWN($E$58/5, 0)*5,'2025ER'!$D$57:$D$72,'2025ER'!$H$57:$H$72)+(($E$58-ROUNDDOWN($E$58/5, 0)*5)/5)*(LOOKUP(ROUNDUP($E$58/5, 0)*5,'2025ER'!$D$57:$D$72,'2025ER'!$H$57:$H$72)-LOOKUP(ROUNDDOWN($E$58/5, 0)*5,'2025ER'!$D$57:$D$72,'2025ER'!$H$57:$H$72)))</f>
        <v>0.10000317414002408</v>
      </c>
      <c r="F64" s="69">
        <f t="shared" si="1"/>
        <v>0.27326689657405723</v>
      </c>
      <c r="G64" s="342"/>
      <c r="H64" s="368"/>
      <c r="N64" s="499"/>
      <c r="O64" s="512"/>
      <c r="P64" s="512"/>
      <c r="Q64" s="512"/>
      <c r="R64" s="512"/>
      <c r="S64" s="512"/>
      <c r="T64" s="512"/>
    </row>
    <row r="65" spans="1:20" x14ac:dyDescent="0.25">
      <c r="A65" s="368"/>
      <c r="B65" s="171"/>
      <c r="C65" s="193" t="s">
        <v>222</v>
      </c>
      <c r="D65" s="69">
        <f>IF($F$17&gt;0,"",LOOKUP(ROUNDDOWN($D$58/5, 0)*5,'2015ER'!$D$74:$D$89,'2015ER'!$H$74:$H$89)+(($D$58-ROUNDDOWN($D$58/5, 0)*5)/5)*(LOOKUP(ROUNDUP($D$58/5, 0)*5,'2015ER'!$D$74:$D$89,'2015ER'!$H$74:$H$89)-LOOKUP(ROUNDDOWN($D$58/5, 0)*5,'2015ER'!$D$74:$D$89,'2015ER'!$H$74:$H$89)))</f>
        <v>0.17849014574237293</v>
      </c>
      <c r="E65" s="69">
        <f>IF($F$17&gt;0,"",LOOKUP(ROUNDDOWN($E$58/5, 0)*5,'2025ER'!$D$74:$D$89,'2025ER'!$H$74:$H$89)+(($E$58-ROUNDDOWN($E$58/5, 0)*5)/5)*(LOOKUP(ROUNDUP($E$58/5, 0)*5,'2025ER'!$D$74:$D$89,'2025ER'!$H$74:$H$89)-LOOKUP(ROUNDDOWN($E$58/5, 0)*5,'2025ER'!$D$74:$D$89,'2025ER'!$H$74:$H$89)))</f>
        <v>5.925986389273951E-2</v>
      </c>
      <c r="F65" s="69">
        <f t="shared" si="1"/>
        <v>0.11887500481755708</v>
      </c>
      <c r="G65" s="342"/>
      <c r="H65" s="368"/>
      <c r="N65" s="499"/>
      <c r="O65" s="512"/>
      <c r="P65" s="512"/>
      <c r="Q65" s="512"/>
      <c r="R65" s="512"/>
      <c r="S65" s="512"/>
      <c r="T65" s="512"/>
    </row>
    <row r="66" spans="1:20" x14ac:dyDescent="0.25">
      <c r="A66" s="368"/>
      <c r="B66" s="724"/>
      <c r="C66" s="193" t="s">
        <v>584</v>
      </c>
      <c r="D66" s="735">
        <f>IF($F$17&gt;0,"",LOOKUP(ROUNDDOWN($D$58/5, 0)*5,'2015ER'!$D$91:$D$106,'2015ER'!$H$91:$H$106)+(($D$58-ROUNDDOWN($D$58/5, 0)*5)/5)*(LOOKUP(ROUNDUP($D$58/5, 0)*5,'2015ER'!$D$91:$D$106,'2015ER'!$H$91:$H$106)-LOOKUP(ROUNDDOWN($D$58/5, 0)*5,'2015ER'!$D$91:$D$106,'2015ER'!$H$91:$H$106)))</f>
        <v>7.5769803753510433E-3</v>
      </c>
      <c r="E66" s="735">
        <f>IF($F$17&gt;0,"",LOOKUP(ROUNDDOWN($E$58/5, 0)*5,'2025ER'!$D$91:$D$106,'2025ER'!$H$91:$H$106)+(($E$58-ROUNDDOWN($E$58/5, 0)*5)/5)*(LOOKUP(ROUNDUP($E$58/5, 0)*5,'2025ER'!$D$91:$D$106,'2025ER'!$H$91:$H$106)-LOOKUP(ROUNDDOWN($E$58/5, 0)*5,'2025ER'!$D$91:$D$106,'2025ER'!$H$91:$H$106)))</f>
        <v>1.971194888103372E-3</v>
      </c>
      <c r="F66" s="69">
        <f t="shared" si="1"/>
        <v>4.774087631727264E-3</v>
      </c>
      <c r="G66" s="342"/>
      <c r="H66" s="368"/>
      <c r="N66" s="499"/>
      <c r="O66" s="512"/>
      <c r="P66" s="512"/>
      <c r="Q66" s="512"/>
      <c r="R66" s="512"/>
      <c r="S66" s="512"/>
      <c r="T66" s="512"/>
    </row>
    <row r="67" spans="1:20" x14ac:dyDescent="0.25">
      <c r="A67" s="368"/>
      <c r="B67" s="724"/>
      <c r="C67" s="193" t="s">
        <v>585</v>
      </c>
      <c r="D67" s="69">
        <f>IF($F$17&gt;0,"",LOOKUP(ROUNDDOWN($D$58/5, 0)*5,'2015ER'!$D$108:$D$123,'2015ER'!$H$108:$H$123)+(($D$58-ROUNDDOWN($D$58/5, 0)*5)/5)*(LOOKUP(ROUNDUP($D$58/5, 0)*5,'2015ER'!$D$108:$D$123,'2015ER'!$H$108:$H$123)-LOOKUP(ROUNDDOWN($D$58/5, 0)*5,'2015ER'!$D$108:$D$123,'2015ER'!$H$108:$H$123)))</f>
        <v>3.0997750447206904</v>
      </c>
      <c r="E67" s="69">
        <f>IF($F$17&gt;0,"",LOOKUP(ROUNDDOWN($E$58/5, 0)*5,'2025ER'!$D$108:$D$123,'2025ER'!$H$108:$H$123)+(($E$58-ROUNDDOWN($E$58/5, 0)*5)/5)*(LOOKUP(ROUNDUP($E$58/5, 0)*5,'2025ER'!$D$108:$D$123,'2025ER'!$H$108:$H$123)-LOOKUP(ROUNDDOWN($E$58/5, 0)*5,'2025ER'!$D$108:$D$123,'2025ER'!$H$108:$H$123)))</f>
        <v>1.7056234450185037</v>
      </c>
      <c r="F67" s="69">
        <f t="shared" si="1"/>
        <v>2.4026992448696092</v>
      </c>
      <c r="G67" s="342"/>
      <c r="H67" s="368"/>
      <c r="N67" s="499"/>
      <c r="O67" s="512"/>
      <c r="P67" s="512"/>
      <c r="Q67" s="512"/>
      <c r="R67" s="512"/>
      <c r="S67" s="512"/>
      <c r="T67" s="512"/>
    </row>
    <row r="68" spans="1:20" ht="15.75" x14ac:dyDescent="0.25">
      <c r="A68" s="368"/>
      <c r="B68" s="171"/>
      <c r="C68" s="358" t="s">
        <v>213</v>
      </c>
      <c r="D68" s="357"/>
      <c r="E68" s="359"/>
      <c r="F68" s="358"/>
      <c r="G68" s="173"/>
      <c r="H68" s="368"/>
      <c r="N68" s="499"/>
      <c r="O68" s="512"/>
      <c r="P68" s="512"/>
      <c r="Q68" s="512"/>
      <c r="R68" s="512"/>
      <c r="S68" s="512"/>
      <c r="T68" s="512"/>
    </row>
    <row r="69" spans="1:20" x14ac:dyDescent="0.25">
      <c r="A69" s="368"/>
      <c r="B69" s="171"/>
      <c r="C69" s="193" t="s">
        <v>643</v>
      </c>
      <c r="D69" s="13">
        <f>IF($F$17&gt;0,"",LOOKUP(ROUNDDOWN(D$59/5, 0)*5,'2015ER'!$D$6:$D$21,'2015ER'!$H$6:$H$21)+((D$59-ROUNDDOWN(D$59/5, 0)*5)/5)*(LOOKUP(ROUNDUP(D$59/5, 0)*5,'2015ER'!$D$6:$D$21,'2015ER'!$H$6:$H$21)-LOOKUP(ROUNDDOWN(D$59/5, 0)*5,'2015ER'!$D$6:$D$21,'2015ER'!$H$6:$H$21)))</f>
        <v>383.19538700025856</v>
      </c>
      <c r="E69" s="13">
        <f>IF($F$17&gt;0,"",LOOKUP(ROUNDDOWN(E$59/5, 0)*5,'2025ER'!$D$6:$D$21,'2025ER'!$H$6:$H$21)+((E$59-ROUNDDOWN(E$59/5, 0)*5)/5)*(LOOKUP(ROUNDUP(E$59/5, 0)*5,'2025ER'!$D$6:$D$21,'2025ER'!$H$6:$H$21)-LOOKUP(ROUNDDOWN(E$59/5, 0)*5,'2025ER'!$D$6:$D$21,'2025ER'!$H$6:$H$21)))</f>
        <v>289.24274059333993</v>
      </c>
      <c r="F69" s="13">
        <f t="shared" ref="F69:F75" si="2">IF($F$17&gt;0,"",TREND(D69:E69,$D$7:$E$7,$F$7))</f>
        <v>336.21906379679785</v>
      </c>
      <c r="G69" s="332"/>
      <c r="H69" s="368"/>
      <c r="N69" s="499"/>
      <c r="O69" s="512"/>
      <c r="P69" s="512"/>
      <c r="Q69" s="512"/>
      <c r="R69" s="512"/>
      <c r="S69" s="512"/>
      <c r="T69" s="512"/>
    </row>
    <row r="70" spans="1:20" x14ac:dyDescent="0.25">
      <c r="A70" s="368"/>
      <c r="B70" s="171"/>
      <c r="C70" s="193" t="s">
        <v>181</v>
      </c>
      <c r="D70" s="69">
        <f>IF($F$17&gt;0,"",LOOKUP(ROUNDDOWN($D$59/5, 0)*5,'2015ER'!$D$23:$D$38,'2015ER'!$H$23:$H$38)+(($D$59-ROUNDDOWN($D$59/5, 0)*5)/5)*(LOOKUP(ROUNDUP($D$59/5, 0)*5,'2015ER'!$D$23:$D$38,'2015ER'!$H$23:$H$38)-LOOKUP(ROUNDDOWN($D$59/5, 0)*5,'2015ER'!$D$23:$D$38,'2015ER'!$H$23:$H$38)))</f>
        <v>0.44315884195391431</v>
      </c>
      <c r="E70" s="69">
        <f>IF($F$17&gt;0,"",LOOKUP(ROUNDDOWN($E$59/5, 0)*5,'2025ER'!$D$23:$D$38,'2025ER'!$H$23:$H$38)+(($E$59-ROUNDDOWN($E$59/5, 0)*5)/5)*(LOOKUP(ROUNDUP($E$59/5, 0)*5,'2025ER'!$D$23:$D$38,'2025ER'!$H$23:$H$38)-LOOKUP(ROUNDDOWN($E$59/5, 0)*5,'2025ER'!$D$23:$D$38,'2025ER'!$H$23:$H$38)))</f>
        <v>9.9201608050462825E-2</v>
      </c>
      <c r="F70" s="69">
        <f t="shared" si="2"/>
        <v>0.27118022500218331</v>
      </c>
      <c r="G70" s="342"/>
      <c r="H70" s="368"/>
      <c r="N70" s="499"/>
      <c r="O70" s="512"/>
      <c r="P70" s="512"/>
      <c r="Q70" s="512"/>
      <c r="R70" s="512"/>
      <c r="S70" s="512"/>
      <c r="T70" s="512"/>
    </row>
    <row r="71" spans="1:20" x14ac:dyDescent="0.25">
      <c r="A71" s="368"/>
      <c r="B71" s="171"/>
      <c r="C71" s="193" t="s">
        <v>200</v>
      </c>
      <c r="D71" s="69">
        <f>IF($F$17&gt;0,"",LOOKUP(ROUNDDOWN($D$59/5, 0)*5,'2015ER'!$D$40:$D$55,'2015ER'!$H$40:$H$55)+(($D$59-ROUNDDOWN($D$59/5, 0)*5)/5)*(LOOKUP(ROUNDUP($D$59/5, 0)*5,'2015ER'!$D$40:$D$55,'2015ER'!$H$40:$H$55)-LOOKUP(ROUNDDOWN($D$59/5, 0)*5,'2015ER'!$D$40:$D$55,'2015ER'!$H$40:$H$55)))</f>
        <v>4.2405530298200199E-3</v>
      </c>
      <c r="E71" s="69">
        <f>IF($F$17&gt;0,"",LOOKUP(ROUNDDOWN($E$59/5, 0)*5,'2025ER'!$D$40:$D$55,'2025ER'!$H$40:$H$55)+(($E$59-ROUNDDOWN($E$59/5, 0)*5)/5)*(LOOKUP(ROUNDUP($E$59/5, 0)*5,'2025ER'!$D$40:$D$55,'2025ER'!$H$40:$H$55)-LOOKUP(ROUNDDOWN($E$59/5, 0)*5,'2025ER'!$D$40:$D$55,'2025ER'!$H$40:$H$55)))</f>
        <v>3.3445803073852325E-3</v>
      </c>
      <c r="F71" s="69">
        <f t="shared" si="2"/>
        <v>3.7925666686026149E-3</v>
      </c>
      <c r="G71" s="342"/>
      <c r="H71" s="368"/>
      <c r="N71" s="499"/>
      <c r="O71" s="512"/>
      <c r="P71" s="512"/>
      <c r="Q71" s="512"/>
      <c r="R71" s="512"/>
      <c r="S71" s="512"/>
      <c r="T71" s="512"/>
    </row>
    <row r="72" spans="1:20" x14ac:dyDescent="0.25">
      <c r="A72" s="368"/>
      <c r="B72" s="171"/>
      <c r="C72" s="193" t="s">
        <v>224</v>
      </c>
      <c r="D72" s="69">
        <f>IF($F$17&gt;0,"",LOOKUP(ROUNDDOWN($D$59/5, 0)*5,'2015ER'!$D$57:$D$72,'2015ER'!$H$57:$H$72)+(($D$59-ROUNDDOWN($D$59/5, 0)*5)/5)*(LOOKUP(ROUNDUP($D$59/5, 0)*5,'2015ER'!$D$57:$D$72,'2015ER'!$H$57:$H$72)-LOOKUP(ROUNDDOWN($D$59/5, 0)*5,'2015ER'!$D$57:$D$72,'2015ER'!$H$57:$H$72)))</f>
        <v>0.44408599290802298</v>
      </c>
      <c r="E72" s="69">
        <f>IF($F$17&gt;0,"",LOOKUP(ROUNDDOWN($E$59/5, 0)*5,'2025ER'!$D$57:$D$72,'2025ER'!$H$57:$H$72)+(($E$59-ROUNDDOWN($E$59/5, 0)*5)/5)*(LOOKUP(ROUNDUP($E$59/5, 0)*5,'2025ER'!$D$57:$D$72,'2025ER'!$H$57:$H$72)-LOOKUP(ROUNDDOWN($E$59/5, 0)*5,'2025ER'!$D$57:$D$72,'2025ER'!$H$57:$H$72)))</f>
        <v>9.9455685660658363E-2</v>
      </c>
      <c r="F72" s="69">
        <f t="shared" si="2"/>
        <v>0.27177083928434342</v>
      </c>
      <c r="G72" s="342"/>
      <c r="H72" s="368"/>
      <c r="N72" s="499"/>
      <c r="O72" s="512"/>
      <c r="P72" s="512"/>
      <c r="Q72" s="512"/>
      <c r="R72" s="512"/>
      <c r="S72" s="512"/>
      <c r="T72" s="512"/>
    </row>
    <row r="73" spans="1:20" x14ac:dyDescent="0.25">
      <c r="A73" s="368"/>
      <c r="B73" s="171"/>
      <c r="C73" s="193" t="s">
        <v>222</v>
      </c>
      <c r="D73" s="69">
        <f>IF($F$17&gt;0,"",LOOKUP(ROUNDDOWN($D$59/5, 0)*5,'2015ER'!$D$74:$D$89,'2015ER'!$H$74:$H$89)+(($D$59-ROUNDDOWN($D$59/5, 0)*5)/5)*(LOOKUP(ROUNDUP($D$59/5, 0)*5,'2015ER'!$D$74:$D$89,'2015ER'!$H$74:$H$89)-LOOKUP(ROUNDDOWN($D$59/5, 0)*5,'2015ER'!$D$74:$D$89,'2015ER'!$H$74:$H$89)))</f>
        <v>0.17683769663243851</v>
      </c>
      <c r="E73" s="69">
        <f>IF($F$17&gt;0,"",LOOKUP(ROUNDDOWN($E$59/5, 0)*5,'2025ER'!$D$74:$D$89,'2025ER'!$H$74:$H$89)+(($E$59-ROUNDDOWN($E$59/5, 0)*5)/5)*(LOOKUP(ROUNDUP($E$59/5, 0)*5,'2025ER'!$D$74:$D$89,'2025ER'!$H$74:$H$89)-LOOKUP(ROUNDDOWN($E$59/5, 0)*5,'2025ER'!$D$74:$D$89,'2025ER'!$H$74:$H$89)))</f>
        <v>5.8711240275804752E-2</v>
      </c>
      <c r="F73" s="69">
        <f t="shared" si="2"/>
        <v>0.11777446845412243</v>
      </c>
      <c r="G73" s="342"/>
      <c r="H73" s="368"/>
      <c r="N73" s="499"/>
      <c r="O73" s="512"/>
      <c r="P73" s="512"/>
      <c r="Q73" s="512"/>
      <c r="R73" s="512"/>
      <c r="S73" s="512"/>
      <c r="T73" s="512"/>
    </row>
    <row r="74" spans="1:20" x14ac:dyDescent="0.25">
      <c r="A74" s="368"/>
      <c r="B74" s="724"/>
      <c r="C74" s="193" t="s">
        <v>584</v>
      </c>
      <c r="D74" s="735">
        <f>IF($F$17&gt;0,"",LOOKUP(ROUNDDOWN($D$59/5, 0)*5,'2015ER'!$D$91:$D$106,'2015ER'!$H$91:$H$106)+(($D$59-ROUNDDOWN($D$59/5, 0)*5)/5)*(LOOKUP(ROUNDUP($D$59/5, 0)*5,'2015ER'!$D$91:$D$106,'2015ER'!$H$91:$H$106)-LOOKUP(ROUNDDOWN($D$59/5, 0)*5,'2015ER'!$D$91:$D$106,'2015ER'!$H$91:$H$106)))</f>
        <v>7.543585086455782E-3</v>
      </c>
      <c r="E74" s="735">
        <f>IF($F$17&gt;0,"",LOOKUP(ROUNDDOWN($E$59/5, 0)*5,'2025ER'!$D$91:$D$106,'2025ER'!$H$91:$H$106)+(($E$59-ROUNDDOWN($E$59/5, 0)*5)/5)*(LOOKUP(ROUNDUP($E$59/5, 0)*5,'2025ER'!$D$91:$D$106,'2025ER'!$H$91:$H$106)-LOOKUP(ROUNDDOWN($E$59/5, 0)*5,'2025ER'!$D$91:$D$106,'2025ER'!$H$91:$H$106)))</f>
        <v>1.9625069122216838E-3</v>
      </c>
      <c r="F74" s="69">
        <f t="shared" si="2"/>
        <v>4.7530459993387897E-3</v>
      </c>
      <c r="G74" s="342"/>
      <c r="H74" s="368"/>
      <c r="N74" s="499"/>
      <c r="O74" s="512"/>
      <c r="P74" s="512"/>
      <c r="Q74" s="512"/>
      <c r="R74" s="512"/>
      <c r="S74" s="512"/>
      <c r="T74" s="512"/>
    </row>
    <row r="75" spans="1:20" x14ac:dyDescent="0.25">
      <c r="A75" s="368"/>
      <c r="B75" s="724"/>
      <c r="C75" s="193" t="s">
        <v>585</v>
      </c>
      <c r="D75" s="69">
        <f>IF($F$17&gt;0,"",LOOKUP(ROUNDDOWN($D$59/5, 0)*5,'2015ER'!$D$108:$D$123,'2015ER'!$H$108:$H$123)+(($D$59-ROUNDDOWN($D$59/5, 0)*5)/5)*(LOOKUP(ROUNDUP($D$59/5, 0)*5,'2015ER'!$D$108:$D$123,'2015ER'!$H$108:$H$123)-LOOKUP(ROUNDDOWN($D$59/5, 0)*5,'2015ER'!$D$108:$D$123,'2015ER'!$H$108:$H$123)))</f>
        <v>3.0794864292991209</v>
      </c>
      <c r="E75" s="69">
        <f>IF($F$17&gt;0,"",LOOKUP(ROUNDDOWN($E$59/5, 0)*5,'2025ER'!$D$108:$D$123,'2025ER'!$H$108:$H$123)+(($E$59-ROUNDDOWN($E$59/5, 0)*5)/5)*(LOOKUP(ROUNDUP($E$59/5, 0)*5,'2025ER'!$D$108:$D$123,'2025ER'!$H$108:$H$123)-LOOKUP(ROUNDDOWN($E$59/5, 0)*5,'2025ER'!$D$108:$D$123,'2025ER'!$H$108:$H$123)))</f>
        <v>1.6944598161645554</v>
      </c>
      <c r="F75" s="69">
        <f t="shared" si="2"/>
        <v>2.3869731227318312</v>
      </c>
      <c r="G75" s="342"/>
      <c r="H75" s="368"/>
      <c r="N75" s="499"/>
      <c r="O75" s="512"/>
      <c r="P75" s="512"/>
      <c r="Q75" s="512"/>
      <c r="R75" s="512"/>
      <c r="S75" s="512"/>
      <c r="T75" s="512"/>
    </row>
    <row r="76" spans="1:20" ht="15.75" x14ac:dyDescent="0.25">
      <c r="A76" s="368"/>
      <c r="B76" s="171"/>
      <c r="C76" s="358" t="s">
        <v>226</v>
      </c>
      <c r="D76" s="357"/>
      <c r="E76" s="359"/>
      <c r="F76" s="358"/>
      <c r="G76" s="173"/>
      <c r="H76" s="368"/>
      <c r="N76" s="499"/>
      <c r="O76" s="512"/>
      <c r="P76" s="512"/>
      <c r="Q76" s="512"/>
      <c r="R76" s="512"/>
      <c r="S76" s="512"/>
      <c r="T76" s="512"/>
    </row>
    <row r="77" spans="1:20" x14ac:dyDescent="0.25">
      <c r="A77" s="368"/>
      <c r="B77" s="171"/>
      <c r="C77" s="193" t="s">
        <v>644</v>
      </c>
      <c r="D77" s="13"/>
      <c r="E77" s="13"/>
      <c r="F77" s="13">
        <f t="shared" ref="F77:F83" si="3">IF($F$17&gt;0,"",F$10*F$8*F$31*F61)</f>
        <v>1416635418.4158232</v>
      </c>
      <c r="G77" s="332"/>
      <c r="H77" s="368"/>
      <c r="N77" s="499"/>
      <c r="O77" s="512"/>
      <c r="P77" s="512"/>
      <c r="Q77" s="512"/>
      <c r="R77" s="512"/>
      <c r="S77" s="512"/>
      <c r="T77" s="512"/>
    </row>
    <row r="78" spans="1:20" x14ac:dyDescent="0.25">
      <c r="A78" s="368"/>
      <c r="B78" s="171"/>
      <c r="C78" s="193" t="s">
        <v>228</v>
      </c>
      <c r="D78" s="13"/>
      <c r="E78" s="13"/>
      <c r="F78" s="13">
        <f t="shared" si="3"/>
        <v>1140841.3417014172</v>
      </c>
      <c r="G78" s="332"/>
      <c r="H78" s="368"/>
      <c r="N78" s="499"/>
      <c r="O78" s="512"/>
      <c r="P78" s="512"/>
      <c r="Q78" s="512"/>
      <c r="R78" s="512"/>
      <c r="S78" s="512"/>
      <c r="T78" s="512"/>
    </row>
    <row r="79" spans="1:20" x14ac:dyDescent="0.25">
      <c r="A79" s="368"/>
      <c r="B79" s="171"/>
      <c r="C79" s="193" t="s">
        <v>229</v>
      </c>
      <c r="D79" s="13"/>
      <c r="E79" s="13"/>
      <c r="F79" s="13">
        <f t="shared" si="3"/>
        <v>16077.163672895069</v>
      </c>
      <c r="G79" s="332"/>
      <c r="H79" s="368"/>
      <c r="N79" s="499"/>
      <c r="O79" s="512"/>
      <c r="P79" s="512"/>
      <c r="Q79" s="512"/>
      <c r="R79" s="512"/>
      <c r="S79" s="512"/>
      <c r="T79" s="512"/>
    </row>
    <row r="80" spans="1:20" x14ac:dyDescent="0.25">
      <c r="A80" s="368"/>
      <c r="B80" s="171"/>
      <c r="C80" s="193" t="s">
        <v>230</v>
      </c>
      <c r="D80" s="13"/>
      <c r="E80" s="13"/>
      <c r="F80" s="13">
        <f t="shared" si="3"/>
        <v>1146491.2645764572</v>
      </c>
      <c r="G80" s="332"/>
      <c r="H80" s="368"/>
      <c r="N80" s="499"/>
      <c r="O80" s="512"/>
      <c r="P80" s="512"/>
      <c r="Q80" s="512"/>
      <c r="R80" s="512"/>
      <c r="S80" s="512"/>
      <c r="T80" s="512"/>
    </row>
    <row r="81" spans="1:20" x14ac:dyDescent="0.25">
      <c r="A81" s="368"/>
      <c r="B81" s="171"/>
      <c r="C81" s="193" t="s">
        <v>231</v>
      </c>
      <c r="D81" s="13"/>
      <c r="E81" s="13"/>
      <c r="F81" s="13">
        <f t="shared" si="3"/>
        <v>498740.08271206077</v>
      </c>
      <c r="G81" s="332"/>
      <c r="H81" s="368"/>
      <c r="N81" s="499"/>
      <c r="O81" s="512"/>
      <c r="P81" s="512"/>
      <c r="Q81" s="512"/>
      <c r="R81" s="512"/>
      <c r="S81" s="512"/>
      <c r="T81" s="512"/>
    </row>
    <row r="82" spans="1:20" x14ac:dyDescent="0.25">
      <c r="A82" s="368"/>
      <c r="B82" s="724"/>
      <c r="C82" s="193" t="s">
        <v>586</v>
      </c>
      <c r="D82" s="13"/>
      <c r="E82" s="13"/>
      <c r="F82" s="13">
        <f t="shared" si="3"/>
        <v>20029.684658911738</v>
      </c>
      <c r="G82" s="332"/>
      <c r="H82" s="368"/>
      <c r="N82" s="499"/>
      <c r="O82" s="512"/>
      <c r="P82" s="512"/>
      <c r="Q82" s="512"/>
      <c r="R82" s="512"/>
      <c r="S82" s="512"/>
      <c r="T82" s="512"/>
    </row>
    <row r="83" spans="1:20" x14ac:dyDescent="0.25">
      <c r="A83" s="368"/>
      <c r="B83" s="724"/>
      <c r="C83" s="193" t="s">
        <v>587</v>
      </c>
      <c r="D83" s="13"/>
      <c r="E83" s="13"/>
      <c r="F83" s="13">
        <f t="shared" si="3"/>
        <v>10080524.681850445</v>
      </c>
      <c r="G83" s="332"/>
      <c r="H83" s="368"/>
    </row>
    <row r="84" spans="1:20" ht="15.75" x14ac:dyDescent="0.25">
      <c r="A84" s="368"/>
      <c r="B84" s="171"/>
      <c r="C84" s="358" t="s">
        <v>227</v>
      </c>
      <c r="D84" s="357"/>
      <c r="E84" s="359"/>
      <c r="F84" s="358"/>
      <c r="G84" s="173"/>
      <c r="H84" s="368"/>
    </row>
    <row r="85" spans="1:20" x14ac:dyDescent="0.25">
      <c r="A85" s="368"/>
      <c r="B85" s="171"/>
      <c r="C85" s="193" t="s">
        <v>644</v>
      </c>
      <c r="D85" s="13"/>
      <c r="E85" s="13"/>
      <c r="F85" s="13">
        <f t="shared" ref="F85:F91" si="4">IF($F$17&gt;0,F$96*F38,(F$10*F$8*F$31-F$96)*F69)</f>
        <v>1368459581.3637643</v>
      </c>
      <c r="G85" s="332"/>
      <c r="H85" s="368"/>
    </row>
    <row r="86" spans="1:20" x14ac:dyDescent="0.25">
      <c r="A86" s="368"/>
      <c r="B86" s="171"/>
      <c r="C86" s="193" t="s">
        <v>228</v>
      </c>
      <c r="D86" s="13"/>
      <c r="E86" s="13"/>
      <c r="F86" s="13">
        <f t="shared" si="4"/>
        <v>1103742.2238642066</v>
      </c>
      <c r="G86" s="332"/>
      <c r="H86" s="368"/>
    </row>
    <row r="87" spans="1:20" x14ac:dyDescent="0.25">
      <c r="A87" s="368"/>
      <c r="B87" s="171"/>
      <c r="C87" s="193" t="s">
        <v>229</v>
      </c>
      <c r="D87" s="13"/>
      <c r="E87" s="13"/>
      <c r="F87" s="13">
        <f t="shared" si="4"/>
        <v>15436.287689941304</v>
      </c>
      <c r="G87" s="332"/>
      <c r="H87" s="368"/>
    </row>
    <row r="88" spans="1:20" x14ac:dyDescent="0.25">
      <c r="A88" s="368"/>
      <c r="B88" s="171"/>
      <c r="C88" s="193" t="s">
        <v>230</v>
      </c>
      <c r="D88" s="13"/>
      <c r="E88" s="13"/>
      <c r="F88" s="13">
        <f t="shared" si="4"/>
        <v>1106146.1082965324</v>
      </c>
      <c r="G88" s="332"/>
      <c r="H88" s="368"/>
    </row>
    <row r="89" spans="1:20" x14ac:dyDescent="0.25">
      <c r="A89" s="368"/>
      <c r="B89" s="171"/>
      <c r="C89" s="193" t="s">
        <v>231</v>
      </c>
      <c r="D89" s="13"/>
      <c r="E89" s="13"/>
      <c r="F89" s="13">
        <f t="shared" si="4"/>
        <v>479358.89766641846</v>
      </c>
      <c r="G89" s="332"/>
      <c r="H89" s="368"/>
    </row>
    <row r="90" spans="1:20" x14ac:dyDescent="0.25">
      <c r="A90" s="368"/>
      <c r="B90" s="724"/>
      <c r="C90" s="193" t="s">
        <v>586</v>
      </c>
      <c r="D90" s="13"/>
      <c r="E90" s="13"/>
      <c r="F90" s="13">
        <f t="shared" si="4"/>
        <v>19345.575664290522</v>
      </c>
      <c r="G90" s="332"/>
      <c r="H90" s="368"/>
    </row>
    <row r="91" spans="1:20" x14ac:dyDescent="0.25">
      <c r="A91" s="368"/>
      <c r="B91" s="724"/>
      <c r="C91" s="193" t="s">
        <v>587</v>
      </c>
      <c r="D91" s="13"/>
      <c r="E91" s="13"/>
      <c r="F91" s="13">
        <f t="shared" si="4"/>
        <v>9715321.3246537764</v>
      </c>
      <c r="G91" s="332"/>
      <c r="H91" s="368"/>
    </row>
    <row r="92" spans="1:20" x14ac:dyDescent="0.25">
      <c r="A92" s="368"/>
      <c r="B92" s="171"/>
      <c r="C92" s="23"/>
      <c r="D92" s="332"/>
      <c r="E92" s="332"/>
      <c r="F92" s="332"/>
      <c r="G92" s="332"/>
      <c r="H92" s="368"/>
      <c r="P92" s="496"/>
      <c r="Q92" s="496"/>
      <c r="R92" s="496"/>
      <c r="S92" s="496"/>
    </row>
    <row r="93" spans="1:20" ht="15.75" x14ac:dyDescent="0.25">
      <c r="A93" s="368"/>
      <c r="B93" s="171"/>
      <c r="C93" s="887" t="s">
        <v>318</v>
      </c>
      <c r="D93" s="887"/>
      <c r="E93" s="887"/>
      <c r="F93" s="887"/>
      <c r="G93" s="332"/>
      <c r="H93" s="368"/>
      <c r="P93" s="508"/>
      <c r="Q93" s="513"/>
      <c r="R93" s="509"/>
      <c r="S93" s="509"/>
    </row>
    <row r="94" spans="1:20" ht="15.75" thickBot="1" x14ac:dyDescent="0.3">
      <c r="A94" s="368"/>
      <c r="B94" s="171"/>
      <c r="C94" s="369" t="s">
        <v>319</v>
      </c>
      <c r="D94" s="369"/>
      <c r="E94" s="369"/>
      <c r="F94" s="369"/>
      <c r="G94" s="332"/>
      <c r="H94" s="368"/>
      <c r="Q94" s="510"/>
      <c r="R94" s="510"/>
      <c r="S94" s="510"/>
    </row>
    <row r="95" spans="1:20" x14ac:dyDescent="0.25">
      <c r="A95" s="368"/>
      <c r="B95" s="180"/>
      <c r="C95" s="364" t="s">
        <v>116</v>
      </c>
      <c r="D95" s="469"/>
      <c r="E95" s="456"/>
      <c r="F95" s="736">
        <f>IF($F$17&gt;0,"N/A",((F56*F31*F10)-(((F10*F31)-F50)*F57)))</f>
        <v>405079.30131553765</v>
      </c>
      <c r="G95" s="172"/>
      <c r="H95" s="368"/>
      <c r="Q95" s="510"/>
      <c r="R95" s="510"/>
      <c r="S95" s="510"/>
    </row>
    <row r="96" spans="1:20" ht="15.75" thickBot="1" x14ac:dyDescent="0.3">
      <c r="A96" s="368"/>
      <c r="B96" s="180"/>
      <c r="C96" s="254" t="s">
        <v>11</v>
      </c>
      <c r="D96" s="470"/>
      <c r="E96" s="471"/>
      <c r="F96" s="737">
        <f>IF(F17&gt;0,(F17*F21+F18*F24)*F31,(F48*F21)+(F49*F24))</f>
        <v>125357.26059000001</v>
      </c>
      <c r="G96" s="121"/>
      <c r="H96" s="368"/>
      <c r="I96" s="496"/>
      <c r="Q96" s="511"/>
      <c r="R96" s="512"/>
      <c r="S96" s="511"/>
    </row>
    <row r="97" spans="1:19" x14ac:dyDescent="0.25">
      <c r="A97" s="368"/>
      <c r="B97" s="171"/>
      <c r="C97" s="63"/>
      <c r="D97" s="121"/>
      <c r="E97" s="121"/>
      <c r="F97" s="485"/>
      <c r="G97" s="121"/>
      <c r="H97" s="368"/>
      <c r="Q97" s="511"/>
      <c r="R97" s="512"/>
      <c r="S97" s="511"/>
    </row>
    <row r="98" spans="1:19" ht="15.75" thickBot="1" x14ac:dyDescent="0.3">
      <c r="A98" s="368"/>
      <c r="B98" s="724"/>
      <c r="C98" s="778" t="s">
        <v>329</v>
      </c>
      <c r="D98" s="2"/>
      <c r="E98" s="2"/>
      <c r="F98" s="2"/>
      <c r="G98" s="121"/>
      <c r="H98" s="368"/>
      <c r="Q98" s="511"/>
      <c r="R98" s="512"/>
      <c r="S98" s="511"/>
    </row>
    <row r="99" spans="1:19" x14ac:dyDescent="0.25">
      <c r="A99" s="368"/>
      <c r="B99" s="2"/>
      <c r="C99" s="850" t="s">
        <v>701</v>
      </c>
      <c r="D99" s="794"/>
      <c r="E99" s="794"/>
      <c r="F99" s="804">
        <f>IF($F$17&gt;0,F85/1000,(F77-F85)/1000)</f>
        <v>48175.837052058938</v>
      </c>
      <c r="G99" s="172"/>
      <c r="H99" s="368"/>
      <c r="Q99" s="511"/>
      <c r="R99" s="512"/>
      <c r="S99" s="511"/>
    </row>
    <row r="100" spans="1:19" ht="12.75" customHeight="1" x14ac:dyDescent="0.25">
      <c r="A100" s="368"/>
      <c r="B100" s="2"/>
      <c r="C100" s="851" t="s">
        <v>702</v>
      </c>
      <c r="D100" s="780"/>
      <c r="E100" s="780"/>
      <c r="F100" s="805">
        <f t="shared" ref="F100:F105" si="5">IF($F$17&gt;0,F86/1000,(F78-F86)/1000)</f>
        <v>37.099117837210649</v>
      </c>
      <c r="G100" s="337"/>
      <c r="H100" s="368"/>
      <c r="J100" s="496"/>
      <c r="K100" s="496"/>
      <c r="L100" s="496"/>
      <c r="Q100" s="511"/>
      <c r="R100" s="512"/>
      <c r="S100" s="511"/>
    </row>
    <row r="101" spans="1:19" x14ac:dyDescent="0.25">
      <c r="A101" s="368"/>
      <c r="B101" s="2"/>
      <c r="C101" s="851" t="s">
        <v>703</v>
      </c>
      <c r="D101" s="780"/>
      <c r="E101" s="780"/>
      <c r="F101" s="805">
        <f t="shared" si="5"/>
        <v>0.6408759829537648</v>
      </c>
      <c r="G101" s="337"/>
      <c r="H101" s="368"/>
      <c r="M101" s="496"/>
      <c r="N101" s="496"/>
      <c r="O101" s="496"/>
      <c r="P101" s="496"/>
      <c r="Q101" s="496"/>
      <c r="R101" s="496"/>
      <c r="S101" s="496"/>
    </row>
    <row r="102" spans="1:19" x14ac:dyDescent="0.25">
      <c r="A102" s="368"/>
      <c r="B102" s="2"/>
      <c r="C102" s="869" t="s">
        <v>704</v>
      </c>
      <c r="D102" s="780"/>
      <c r="E102" s="780"/>
      <c r="F102" s="806">
        <f t="shared" si="5"/>
        <v>40.345156279924794</v>
      </c>
      <c r="G102" s="337"/>
      <c r="H102" s="368"/>
    </row>
    <row r="103" spans="1:19" x14ac:dyDescent="0.25">
      <c r="A103" s="368"/>
      <c r="B103" s="2"/>
      <c r="C103" s="869" t="s">
        <v>705</v>
      </c>
      <c r="D103" s="780"/>
      <c r="E103" s="780"/>
      <c r="F103" s="806">
        <f t="shared" si="5"/>
        <v>19.381185045642312</v>
      </c>
      <c r="G103" s="337"/>
      <c r="H103" s="368"/>
    </row>
    <row r="104" spans="1:19" x14ac:dyDescent="0.25">
      <c r="A104" s="368"/>
      <c r="B104" s="2"/>
      <c r="C104" s="869" t="s">
        <v>706</v>
      </c>
      <c r="D104" s="780"/>
      <c r="E104" s="780"/>
      <c r="F104" s="806">
        <f t="shared" si="5"/>
        <v>0.68410899462121599</v>
      </c>
      <c r="G104" s="337"/>
      <c r="H104" s="368"/>
    </row>
    <row r="105" spans="1:19" ht="15.75" thickBot="1" x14ac:dyDescent="0.3">
      <c r="A105" s="368"/>
      <c r="B105" s="2"/>
      <c r="C105" s="870" t="s">
        <v>707</v>
      </c>
      <c r="D105" s="789"/>
      <c r="E105" s="789"/>
      <c r="F105" s="807">
        <f t="shared" si="5"/>
        <v>365.20335719666815</v>
      </c>
      <c r="G105" s="337"/>
      <c r="H105" s="368"/>
    </row>
    <row r="106" spans="1:19" x14ac:dyDescent="0.25">
      <c r="A106" s="368"/>
      <c r="B106" s="2"/>
      <c r="C106" s="850" t="s">
        <v>722</v>
      </c>
      <c r="D106" s="821"/>
      <c r="E106" s="821"/>
      <c r="F106" s="783">
        <f>F99/F$31</f>
        <v>192.70334820823575</v>
      </c>
      <c r="G106" s="337"/>
      <c r="H106" s="368"/>
    </row>
    <row r="107" spans="1:19" x14ac:dyDescent="0.25">
      <c r="A107" s="368"/>
      <c r="B107" s="2"/>
      <c r="C107" s="869" t="s">
        <v>723</v>
      </c>
      <c r="D107" s="820"/>
      <c r="E107" s="820"/>
      <c r="F107" s="784">
        <f t="shared" ref="F107:F112" si="6">F100/F$31</f>
        <v>0.1483964713488426</v>
      </c>
      <c r="G107" s="135"/>
      <c r="H107" s="368"/>
    </row>
    <row r="108" spans="1:19" x14ac:dyDescent="0.25">
      <c r="A108" s="368"/>
      <c r="B108" s="2"/>
      <c r="C108" s="869" t="s">
        <v>724</v>
      </c>
      <c r="D108" s="820"/>
      <c r="E108" s="820"/>
      <c r="F108" s="784">
        <f t="shared" si="6"/>
        <v>2.5635039318150591E-3</v>
      </c>
      <c r="G108" s="135"/>
      <c r="H108" s="368"/>
    </row>
    <row r="109" spans="1:19" x14ac:dyDescent="0.25">
      <c r="A109" s="368"/>
      <c r="B109" s="2"/>
      <c r="C109" s="851" t="s">
        <v>725</v>
      </c>
      <c r="D109" s="820"/>
      <c r="E109" s="820"/>
      <c r="F109" s="785">
        <f t="shared" si="6"/>
        <v>0.16138062511969917</v>
      </c>
      <c r="G109" s="172"/>
      <c r="H109" s="368"/>
    </row>
    <row r="110" spans="1:19" x14ac:dyDescent="0.25">
      <c r="A110" s="368"/>
      <c r="B110" s="2"/>
      <c r="C110" s="851" t="s">
        <v>726</v>
      </c>
      <c r="D110" s="820"/>
      <c r="E110" s="820"/>
      <c r="F110" s="785">
        <f t="shared" si="6"/>
        <v>7.7524740182569246E-2</v>
      </c>
      <c r="G110" s="172"/>
      <c r="H110" s="368"/>
    </row>
    <row r="111" spans="1:19" x14ac:dyDescent="0.25">
      <c r="A111" s="368"/>
      <c r="B111" s="2"/>
      <c r="C111" s="869" t="s">
        <v>727</v>
      </c>
      <c r="D111" s="820"/>
      <c r="E111" s="820"/>
      <c r="F111" s="822">
        <f t="shared" si="6"/>
        <v>2.736435978484864E-3</v>
      </c>
      <c r="G111" s="172"/>
      <c r="H111" s="368"/>
    </row>
    <row r="112" spans="1:19" ht="15.75" thickBot="1" x14ac:dyDescent="0.3">
      <c r="A112" s="368"/>
      <c r="B112" s="2"/>
      <c r="C112" s="873" t="s">
        <v>728</v>
      </c>
      <c r="D112" s="823"/>
      <c r="E112" s="823"/>
      <c r="F112" s="824">
        <f t="shared" si="6"/>
        <v>1.4608134287866725</v>
      </c>
      <c r="G112" s="172"/>
      <c r="H112" s="368"/>
    </row>
    <row r="113" spans="1:12" ht="15.75" thickBot="1" x14ac:dyDescent="0.3">
      <c r="A113" s="368"/>
      <c r="B113" s="724"/>
      <c r="C113" s="6"/>
      <c r="D113" s="7"/>
      <c r="E113" s="7"/>
      <c r="F113" s="7"/>
      <c r="G113" s="7"/>
      <c r="H113" s="368"/>
      <c r="K113" s="495"/>
      <c r="L113" s="496"/>
    </row>
    <row r="114" spans="1:12" x14ac:dyDescent="0.25">
      <c r="A114" s="368"/>
      <c r="B114" s="724"/>
      <c r="C114" s="850" t="s">
        <v>715</v>
      </c>
      <c r="D114" s="821"/>
      <c r="E114" s="821"/>
      <c r="F114" s="795">
        <v>5212260</v>
      </c>
      <c r="G114" s="724"/>
      <c r="H114" s="368"/>
    </row>
    <row r="115" spans="1:12" x14ac:dyDescent="0.25">
      <c r="A115" s="368"/>
      <c r="B115" s="724"/>
      <c r="C115" s="869" t="s">
        <v>716</v>
      </c>
      <c r="D115" s="820"/>
      <c r="E115" s="820"/>
      <c r="F115" s="796">
        <v>20</v>
      </c>
      <c r="G115" s="724"/>
      <c r="H115" s="368"/>
    </row>
    <row r="116" spans="1:12" x14ac:dyDescent="0.25">
      <c r="A116" s="368"/>
      <c r="B116" s="724"/>
      <c r="C116" s="851" t="s">
        <v>717</v>
      </c>
      <c r="D116" s="820"/>
      <c r="E116" s="820"/>
      <c r="F116" s="797">
        <f>(F$114/F$115)/F100</f>
        <v>7024.7761993575905</v>
      </c>
      <c r="G116" s="724"/>
      <c r="H116" s="368"/>
    </row>
    <row r="117" spans="1:12" x14ac:dyDescent="0.25">
      <c r="A117" s="368"/>
      <c r="B117" s="724"/>
      <c r="C117" s="851" t="s">
        <v>718</v>
      </c>
      <c r="D117" s="820"/>
      <c r="E117" s="820"/>
      <c r="F117" s="797">
        <f>(F$114/F$115)/F101</f>
        <v>406651.21947439492</v>
      </c>
      <c r="G117" s="724"/>
      <c r="H117" s="368"/>
    </row>
    <row r="118" spans="1:12" x14ac:dyDescent="0.25">
      <c r="A118" s="368"/>
      <c r="B118" s="724"/>
      <c r="C118" s="869" t="s">
        <v>719</v>
      </c>
      <c r="D118" s="820"/>
      <c r="E118" s="820"/>
      <c r="F118" s="797">
        <f>((F$114/F$115)/F$31)/F109</f>
        <v>6459.5858345869765</v>
      </c>
      <c r="G118" s="724"/>
      <c r="H118" s="368"/>
    </row>
    <row r="119" spans="1:12" x14ac:dyDescent="0.25">
      <c r="A119" s="368"/>
      <c r="B119" s="724"/>
      <c r="C119" s="869" t="s">
        <v>720</v>
      </c>
      <c r="D119" s="820"/>
      <c r="E119" s="820"/>
      <c r="F119" s="797">
        <f t="shared" ref="F119" si="7">((F$114/F$115)/F$31)/F110</f>
        <v>13446.70098274494</v>
      </c>
      <c r="G119" s="724"/>
      <c r="H119" s="368"/>
    </row>
    <row r="120" spans="1:12" ht="15.75" thickBot="1" x14ac:dyDescent="0.3">
      <c r="A120" s="368"/>
      <c r="B120" s="724"/>
      <c r="C120" s="870" t="s">
        <v>721</v>
      </c>
      <c r="D120" s="823"/>
      <c r="E120" s="823"/>
      <c r="F120" s="809">
        <f>((F$114/F$115)/F$31)/F112</f>
        <v>713.61063600424552</v>
      </c>
      <c r="G120" s="724"/>
      <c r="H120" s="368"/>
    </row>
    <row r="121" spans="1:12" x14ac:dyDescent="0.25">
      <c r="A121" s="368"/>
      <c r="B121" s="368"/>
      <c r="C121" s="368"/>
      <c r="D121" s="368"/>
      <c r="E121" s="368"/>
      <c r="F121" s="368"/>
      <c r="G121" s="368"/>
      <c r="H121" s="368"/>
    </row>
  </sheetData>
  <mergeCells count="7">
    <mergeCell ref="C46:F46"/>
    <mergeCell ref="C93:F93"/>
    <mergeCell ref="C16:F16"/>
    <mergeCell ref="C2:F2"/>
    <mergeCell ref="C3:F3"/>
    <mergeCell ref="C5:F5"/>
    <mergeCell ref="C26:F26"/>
  </mergeCells>
  <dataValidations count="2">
    <dataValidation type="list" allowBlank="1" showInputMessage="1" showErrorMessage="1" sqref="G7:G9">
      <formula1>$Y$3:$Y$12</formula1>
    </dataValidation>
    <dataValidation type="list" allowBlank="1" showInputMessage="1" showErrorMessage="1" sqref="D9:F9">
      <formula1>$I$110:$I$121</formula1>
    </dataValidation>
  </dataValidations>
  <printOptions headings="1" gridLines="1"/>
  <pageMargins left="0.7" right="0.7" top="0.75" bottom="0.75" header="0.3" footer="0.3"/>
  <pageSetup paperSize="17" scale="62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OtherVariables!$P$24:$P$34</xm:f>
          </x14:formula1>
          <xm:sqref>F7</xm:sqref>
        </x14:dataValidation>
        <x14:dataValidation type="list" allowBlank="1" showInputMessage="1" showErrorMessage="1">
          <x14:formula1>
            <xm:f>OtherVariables!$I$14:$I$18</xm:f>
          </x14:formula1>
          <xm:sqref>F15</xm:sqref>
        </x14:dataValidation>
        <x14:dataValidation type="list" allowBlank="1" showInputMessage="1" showErrorMessage="1">
          <x14:formula1>
            <xm:f>OtherVariables!$A$231:$A$232</xm:f>
          </x14:formula1>
          <xm:sqref>F14</xm:sqref>
        </x14:dataValidation>
        <x14:dataValidation type="list" allowBlank="1" showInputMessage="1" showErrorMessage="1">
          <x14:formula1>
            <xm:f>OtherVariables!$A$178:$A$179</xm:f>
          </x14:formula1>
          <xm:sqref>F20 F23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B94"/>
  <sheetViews>
    <sheetView showGridLines="0" zoomScale="85" zoomScaleNormal="85" workbookViewId="0">
      <selection activeCell="C4" sqref="C4"/>
    </sheetView>
  </sheetViews>
  <sheetFormatPr defaultRowHeight="15" x14ac:dyDescent="0.25"/>
  <cols>
    <col min="1" max="1" width="2.28515625" style="165" customWidth="1"/>
    <col min="2" max="2" width="1.7109375" style="165" customWidth="1"/>
    <col min="3" max="3" width="72" style="165" customWidth="1"/>
    <col min="4" max="4" width="18" style="165" customWidth="1"/>
    <col min="5" max="5" width="18.28515625" style="165" customWidth="1"/>
    <col min="6" max="6" width="26.28515625" style="165" customWidth="1"/>
    <col min="7" max="7" width="1.85546875" style="165" customWidth="1"/>
    <col min="8" max="8" width="2.28515625" style="165" customWidth="1"/>
    <col min="9" max="9" width="2.28515625" style="371" customWidth="1"/>
    <col min="10" max="10" width="15.28515625" style="371" customWidth="1"/>
    <col min="11" max="11" width="22.7109375" style="371" bestFit="1" customWidth="1"/>
    <col min="12" max="12" width="11.140625" style="371" customWidth="1"/>
    <col min="13" max="17" width="9.140625" style="371"/>
    <col min="18" max="18" width="25.5703125" style="371" customWidth="1"/>
    <col min="19" max="19" width="20.28515625" style="371" customWidth="1"/>
    <col min="20" max="21" width="9.140625" style="371"/>
    <col min="22" max="22" width="22.7109375" style="371" bestFit="1" customWidth="1"/>
    <col min="23" max="28" width="9.140625" style="371"/>
    <col min="29" max="16384" width="9.140625" style="165"/>
  </cols>
  <sheetData>
    <row r="1" spans="1:22" ht="12" customHeight="1" x14ac:dyDescent="0.25">
      <c r="A1" s="368"/>
      <c r="B1" s="368"/>
      <c r="C1" s="368"/>
      <c r="D1" s="368"/>
      <c r="E1" s="368"/>
      <c r="F1" s="368"/>
      <c r="G1" s="368"/>
      <c r="H1" s="368"/>
    </row>
    <row r="2" spans="1:22" ht="8.25" customHeight="1" x14ac:dyDescent="0.25">
      <c r="A2" s="368"/>
      <c r="B2" s="367"/>
      <c r="C2" s="888"/>
      <c r="D2" s="888"/>
      <c r="E2" s="888"/>
      <c r="F2" s="888"/>
      <c r="G2" s="367"/>
      <c r="H2" s="368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</row>
    <row r="3" spans="1:22" ht="29.25" customHeight="1" x14ac:dyDescent="0.25">
      <c r="A3" s="368"/>
      <c r="B3" s="462"/>
      <c r="C3" s="889" t="s">
        <v>466</v>
      </c>
      <c r="D3" s="889"/>
      <c r="E3" s="889"/>
      <c r="F3" s="889"/>
      <c r="G3" s="198"/>
      <c r="H3" s="368"/>
    </row>
    <row r="4" spans="1:22" ht="15" customHeight="1" x14ac:dyDescent="0.25">
      <c r="A4" s="368"/>
      <c r="B4" s="462"/>
      <c r="C4" s="462"/>
      <c r="D4" s="462"/>
      <c r="E4" s="462"/>
      <c r="F4" s="462"/>
      <c r="G4" s="462"/>
      <c r="H4" s="368"/>
    </row>
    <row r="5" spans="1:22" ht="15" customHeight="1" x14ac:dyDescent="0.25">
      <c r="A5" s="368"/>
      <c r="B5" s="462"/>
      <c r="C5" s="890" t="s">
        <v>321</v>
      </c>
      <c r="D5" s="890"/>
      <c r="E5" s="890"/>
      <c r="F5" s="890"/>
      <c r="G5" s="462"/>
      <c r="H5" s="368"/>
    </row>
    <row r="6" spans="1:22" ht="15" customHeight="1" x14ac:dyDescent="0.25">
      <c r="A6" s="368"/>
      <c r="B6" s="462"/>
      <c r="C6" s="355" t="s">
        <v>324</v>
      </c>
      <c r="D6" s="357"/>
      <c r="E6" s="359"/>
      <c r="F6" s="355" t="s">
        <v>326</v>
      </c>
      <c r="G6" s="34"/>
      <c r="H6" s="368"/>
    </row>
    <row r="7" spans="1:22" ht="15" customHeight="1" x14ac:dyDescent="0.25">
      <c r="A7" s="368"/>
      <c r="B7" s="462"/>
      <c r="C7" s="204" t="s">
        <v>331</v>
      </c>
      <c r="D7" s="318">
        <v>2015</v>
      </c>
      <c r="E7" s="318">
        <v>2025</v>
      </c>
      <c r="F7" s="318">
        <v>2020</v>
      </c>
      <c r="G7" s="34"/>
      <c r="H7" s="368"/>
    </row>
    <row r="8" spans="1:22" ht="15" customHeight="1" x14ac:dyDescent="0.25">
      <c r="A8" s="368"/>
      <c r="B8" s="462"/>
      <c r="C8" s="355" t="s">
        <v>468</v>
      </c>
      <c r="D8" s="570"/>
      <c r="E8" s="570"/>
      <c r="F8" s="570"/>
      <c r="G8" s="34"/>
      <c r="H8" s="368"/>
    </row>
    <row r="9" spans="1:22" ht="15" customHeight="1" x14ac:dyDescent="0.25">
      <c r="A9" s="368"/>
      <c r="B9" s="462"/>
      <c r="C9" s="204" t="s">
        <v>470</v>
      </c>
      <c r="D9" s="158"/>
      <c r="E9" s="158"/>
      <c r="F9" s="158">
        <v>10</v>
      </c>
      <c r="G9" s="34"/>
      <c r="H9" s="368"/>
      <c r="J9" s="566"/>
    </row>
    <row r="10" spans="1:22" ht="15" customHeight="1" x14ac:dyDescent="0.25">
      <c r="A10" s="368"/>
      <c r="B10" s="462"/>
      <c r="C10" s="188" t="s">
        <v>551</v>
      </c>
      <c r="D10" s="158"/>
      <c r="E10" s="158"/>
      <c r="F10" s="158">
        <v>10</v>
      </c>
      <c r="G10" s="34"/>
      <c r="H10" s="368"/>
      <c r="J10" s="566"/>
    </row>
    <row r="11" spans="1:22" x14ac:dyDescent="0.25">
      <c r="A11" s="368"/>
      <c r="B11" s="462"/>
      <c r="C11" s="204" t="s">
        <v>645</v>
      </c>
      <c r="D11" s="158"/>
      <c r="E11" s="158"/>
      <c r="F11" s="565">
        <v>2.5</v>
      </c>
      <c r="G11" s="34"/>
      <c r="H11" s="368"/>
      <c r="J11" s="566"/>
    </row>
    <row r="12" spans="1:22" x14ac:dyDescent="0.25">
      <c r="A12" s="368"/>
      <c r="B12" s="462"/>
      <c r="C12" s="355" t="s">
        <v>471</v>
      </c>
      <c r="D12" s="375"/>
      <c r="E12" s="375"/>
      <c r="F12" s="375"/>
      <c r="G12" s="34"/>
      <c r="H12" s="368"/>
      <c r="J12" s="566"/>
      <c r="K12" s="566"/>
    </row>
    <row r="13" spans="1:22" ht="15" customHeight="1" x14ac:dyDescent="0.25">
      <c r="A13" s="368"/>
      <c r="B13" s="462"/>
      <c r="C13" s="204" t="s">
        <v>469</v>
      </c>
      <c r="D13" s="158"/>
      <c r="E13" s="158"/>
      <c r="F13" s="158">
        <v>12</v>
      </c>
      <c r="G13" s="34"/>
      <c r="H13" s="368"/>
      <c r="K13" s="566"/>
    </row>
    <row r="14" spans="1:22" ht="15" customHeight="1" x14ac:dyDescent="0.25">
      <c r="A14" s="368"/>
      <c r="B14" s="462"/>
      <c r="C14" s="188" t="s">
        <v>551</v>
      </c>
      <c r="D14" s="158"/>
      <c r="E14" s="158"/>
      <c r="F14" s="158">
        <v>15</v>
      </c>
      <c r="G14" s="34"/>
      <c r="H14" s="368"/>
      <c r="I14" s="496"/>
      <c r="J14" s="495"/>
      <c r="K14" s="566"/>
    </row>
    <row r="15" spans="1:22" ht="15" customHeight="1" x14ac:dyDescent="0.25">
      <c r="A15" s="368"/>
      <c r="B15" s="462"/>
      <c r="C15" s="204" t="s">
        <v>646</v>
      </c>
      <c r="D15" s="568"/>
      <c r="E15" s="569"/>
      <c r="F15" s="565">
        <v>4.5</v>
      </c>
      <c r="G15" s="34"/>
      <c r="H15" s="368"/>
      <c r="I15" s="496"/>
      <c r="J15" s="495"/>
      <c r="K15" s="566"/>
    </row>
    <row r="16" spans="1:22" ht="15" customHeight="1" x14ac:dyDescent="0.25">
      <c r="A16" s="368"/>
      <c r="B16" s="462"/>
      <c r="C16" s="172"/>
      <c r="D16" s="197"/>
      <c r="E16" s="197"/>
      <c r="F16" s="197"/>
      <c r="G16" s="34"/>
      <c r="H16" s="368"/>
      <c r="I16" s="496"/>
      <c r="J16" s="495"/>
      <c r="K16" s="496"/>
      <c r="L16" s="495"/>
      <c r="N16" s="374"/>
      <c r="O16" s="374"/>
      <c r="P16" s="533"/>
      <c r="Q16" s="533"/>
    </row>
    <row r="17" spans="1:28" ht="15" customHeight="1" x14ac:dyDescent="0.25">
      <c r="A17" s="368"/>
      <c r="B17" s="462"/>
      <c r="C17" s="890" t="s">
        <v>320</v>
      </c>
      <c r="D17" s="890"/>
      <c r="E17" s="890"/>
      <c r="F17" s="890"/>
      <c r="G17" s="34"/>
      <c r="H17" s="368"/>
      <c r="I17" s="496"/>
      <c r="J17" s="567"/>
      <c r="K17" s="496"/>
      <c r="L17" s="495"/>
      <c r="N17" s="374"/>
      <c r="O17" s="374"/>
      <c r="P17" s="533"/>
      <c r="Q17" s="533"/>
    </row>
    <row r="18" spans="1:28" ht="15" customHeight="1" x14ac:dyDescent="0.25">
      <c r="A18" s="368"/>
      <c r="B18" s="462"/>
      <c r="C18" s="372" t="s">
        <v>1</v>
      </c>
      <c r="D18" s="1"/>
      <c r="E18" s="1"/>
      <c r="F18" s="1"/>
      <c r="G18" s="102"/>
      <c r="H18" s="368"/>
      <c r="I18" s="496"/>
      <c r="J18" s="495"/>
      <c r="K18" s="496"/>
      <c r="L18" s="571"/>
      <c r="N18" s="374"/>
      <c r="O18" s="374"/>
      <c r="P18" s="533"/>
      <c r="Q18" s="533"/>
    </row>
    <row r="19" spans="1:28" ht="15" customHeight="1" x14ac:dyDescent="0.25">
      <c r="A19" s="368"/>
      <c r="B19" s="462"/>
      <c r="C19" s="205" t="s">
        <v>647</v>
      </c>
      <c r="D19" s="103"/>
      <c r="E19" s="103"/>
      <c r="F19" s="103">
        <v>1.2</v>
      </c>
      <c r="G19" s="102"/>
      <c r="H19" s="368"/>
      <c r="J19" s="500"/>
      <c r="K19" s="496"/>
      <c r="L19" s="571"/>
      <c r="N19" s="374"/>
      <c r="O19" s="374"/>
      <c r="P19" s="533"/>
      <c r="Q19" s="533"/>
    </row>
    <row r="20" spans="1:28" ht="15" customHeight="1" x14ac:dyDescent="0.25">
      <c r="A20" s="368"/>
      <c r="B20" s="462"/>
      <c r="C20" s="205" t="s">
        <v>180</v>
      </c>
      <c r="D20" s="104"/>
      <c r="E20" s="104"/>
      <c r="F20" s="104">
        <v>250</v>
      </c>
      <c r="G20" s="122"/>
      <c r="H20" s="368"/>
      <c r="J20" s="530"/>
    </row>
    <row r="21" spans="1:28" x14ac:dyDescent="0.25">
      <c r="A21" s="368"/>
      <c r="B21" s="462"/>
      <c r="C21" s="204" t="s">
        <v>475</v>
      </c>
      <c r="D21" s="104"/>
      <c r="E21" s="104"/>
      <c r="F21" s="106">
        <f>1/F19</f>
        <v>0.83333333333333337</v>
      </c>
      <c r="G21" s="102"/>
      <c r="H21" s="368"/>
    </row>
    <row r="22" spans="1:28" x14ac:dyDescent="0.25">
      <c r="A22" s="368"/>
      <c r="B22" s="462"/>
      <c r="C22" s="204" t="s">
        <v>476</v>
      </c>
      <c r="D22" s="138"/>
      <c r="E22" s="138"/>
      <c r="F22" s="106">
        <v>0.9</v>
      </c>
      <c r="G22" s="102"/>
      <c r="H22" s="368"/>
      <c r="X22" s="165"/>
      <c r="Y22" s="165"/>
      <c r="Z22" s="165"/>
      <c r="AA22" s="165"/>
      <c r="AB22" s="165"/>
    </row>
    <row r="23" spans="1:28" x14ac:dyDescent="0.25">
      <c r="A23" s="368"/>
      <c r="B23" s="462"/>
      <c r="C23" s="204" t="s">
        <v>571</v>
      </c>
      <c r="D23" s="106"/>
      <c r="E23" s="106"/>
      <c r="F23" s="106">
        <v>5</v>
      </c>
      <c r="G23" s="102"/>
      <c r="H23" s="368"/>
      <c r="X23" s="165"/>
      <c r="Y23" s="165"/>
      <c r="Z23" s="165"/>
      <c r="AA23" s="165"/>
      <c r="AB23" s="165"/>
    </row>
    <row r="24" spans="1:28" x14ac:dyDescent="0.25">
      <c r="A24" s="368"/>
      <c r="B24" s="462"/>
      <c r="C24" s="562" t="s">
        <v>472</v>
      </c>
      <c r="D24" s="63"/>
      <c r="E24" s="63"/>
      <c r="F24" s="63"/>
      <c r="G24" s="102"/>
      <c r="H24" s="368"/>
      <c r="X24" s="165"/>
      <c r="Y24" s="165"/>
      <c r="Z24" s="165"/>
      <c r="AA24" s="165"/>
      <c r="AB24" s="165"/>
    </row>
    <row r="25" spans="1:28" x14ac:dyDescent="0.25">
      <c r="A25" s="368"/>
      <c r="B25" s="462"/>
      <c r="C25" s="191" t="s">
        <v>245</v>
      </c>
      <c r="D25" s="739">
        <f>'2015ER'!I5</f>
        <v>384.35859582077808</v>
      </c>
      <c r="E25" s="739">
        <f>'2025ER'!I5</f>
        <v>290.30625699533425</v>
      </c>
      <c r="F25" s="106">
        <f>TREND(D25:E25,$D$7:$E$7,$F$7)</f>
        <v>337.33242640805474</v>
      </c>
      <c r="G25" s="102"/>
      <c r="H25" s="368"/>
      <c r="X25" s="165"/>
      <c r="Y25" s="165"/>
      <c r="Z25" s="165"/>
      <c r="AA25" s="165"/>
      <c r="AB25" s="165"/>
    </row>
    <row r="26" spans="1:28" x14ac:dyDescent="0.25">
      <c r="A26" s="368"/>
      <c r="B26" s="462"/>
      <c r="C26" s="191" t="s">
        <v>246</v>
      </c>
      <c r="D26" s="137">
        <f>'2015ER'!I22</f>
        <v>0.48807710252131187</v>
      </c>
      <c r="E26" s="137">
        <f>'2025ER'!I22</f>
        <v>0.11613536328169603</v>
      </c>
      <c r="F26" s="106">
        <f>TREND(D26:E26,$D$7:$E$7,$F$7)</f>
        <v>0.30210623290150806</v>
      </c>
      <c r="G26" s="102"/>
      <c r="H26" s="368"/>
      <c r="Z26" s="165"/>
      <c r="AA26" s="165"/>
      <c r="AB26" s="165"/>
    </row>
    <row r="27" spans="1:28" x14ac:dyDescent="0.25">
      <c r="A27" s="368"/>
      <c r="B27" s="462"/>
      <c r="C27" s="191" t="s">
        <v>247</v>
      </c>
      <c r="D27" s="738">
        <f>'2015ER'!I39</f>
        <v>4.309459763167052E-3</v>
      </c>
      <c r="E27" s="738">
        <f>'2025ER'!I39</f>
        <v>3.1367318849430999E-3</v>
      </c>
      <c r="F27" s="106">
        <f>TREND(D27:E27,$D$7:$E$7,$F$7)</f>
        <v>3.7230958240550838E-3</v>
      </c>
      <c r="G27" s="102"/>
      <c r="H27" s="368"/>
      <c r="I27" s="496"/>
      <c r="J27" s="496"/>
      <c r="Z27" s="165"/>
      <c r="AA27" s="165"/>
      <c r="AB27" s="165"/>
    </row>
    <row r="28" spans="1:28" x14ac:dyDescent="0.25">
      <c r="A28" s="368"/>
      <c r="B28" s="462"/>
      <c r="C28" s="191" t="s">
        <v>248</v>
      </c>
      <c r="D28" s="137">
        <f>'2015ER'!I56</f>
        <v>0.50704072211337847</v>
      </c>
      <c r="E28" s="137">
        <f>'2025ER'!I56</f>
        <v>0.12081631645733369</v>
      </c>
      <c r="F28" s="106">
        <f>TREND(D28:E28,$D$7:$E$7,$F$7)</f>
        <v>0.31392851928535492</v>
      </c>
      <c r="G28" s="102"/>
      <c r="H28" s="368"/>
      <c r="I28" s="496"/>
      <c r="J28" s="496"/>
      <c r="X28" s="165"/>
      <c r="Y28" s="165"/>
      <c r="Z28" s="165"/>
      <c r="AA28" s="165"/>
      <c r="AB28" s="165"/>
    </row>
    <row r="29" spans="1:28" x14ac:dyDescent="0.25">
      <c r="A29" s="368"/>
      <c r="B29" s="462"/>
      <c r="C29" s="191" t="s">
        <v>249</v>
      </c>
      <c r="D29" s="137">
        <f>'2015ER'!I73</f>
        <v>0.17607364566569073</v>
      </c>
      <c r="E29" s="137">
        <f>'2025ER'!I73</f>
        <v>5.8881363050891991E-2</v>
      </c>
      <c r="F29" s="106">
        <f>TREND(D29:E29,$D$7:$E$7,$F$7)</f>
        <v>0.11747750435829118</v>
      </c>
      <c r="G29" s="102"/>
      <c r="H29" s="368"/>
      <c r="I29" s="534"/>
      <c r="J29" s="496"/>
      <c r="X29" s="165"/>
      <c r="Y29" s="165"/>
      <c r="Z29" s="165"/>
      <c r="AA29" s="165"/>
      <c r="AB29" s="165"/>
    </row>
    <row r="30" spans="1:28" x14ac:dyDescent="0.25">
      <c r="A30" s="368"/>
      <c r="B30" s="724"/>
      <c r="C30" s="191" t="s">
        <v>602</v>
      </c>
      <c r="D30" s="738">
        <f>'2015ER'!I90</f>
        <v>7.5744678560726551E-3</v>
      </c>
      <c r="E30" s="738">
        <f>'2025ER'!I90</f>
        <v>1.9717038466033725E-3</v>
      </c>
      <c r="F30" s="106">
        <f t="shared" ref="F30:F31" si="0">TREND(D30:E30,$D$7:$E$7,$F$7)</f>
        <v>4.7730858513379548E-3</v>
      </c>
      <c r="G30" s="102"/>
      <c r="H30" s="368"/>
      <c r="I30" s="534"/>
      <c r="J30" s="496"/>
      <c r="X30" s="165"/>
      <c r="Y30" s="165"/>
      <c r="Z30" s="165"/>
      <c r="AA30" s="165"/>
      <c r="AB30" s="165"/>
    </row>
    <row r="31" spans="1:28" x14ac:dyDescent="0.25">
      <c r="A31" s="368"/>
      <c r="B31" s="724"/>
      <c r="C31" s="191" t="s">
        <v>603</v>
      </c>
      <c r="D31" s="137">
        <f>'2015ER'!I107</f>
        <v>3.4175996409530245</v>
      </c>
      <c r="E31" s="137">
        <f>'2025ER'!I107</f>
        <v>1.9793621561003352</v>
      </c>
      <c r="F31" s="106">
        <f t="shared" si="0"/>
        <v>2.6984808985266682</v>
      </c>
      <c r="G31" s="102"/>
      <c r="H31" s="368"/>
      <c r="I31" s="534"/>
      <c r="J31" s="496"/>
      <c r="K31" s="496"/>
      <c r="L31" s="496"/>
      <c r="Z31" s="165"/>
      <c r="AA31" s="165"/>
      <c r="AB31" s="165"/>
    </row>
    <row r="32" spans="1:28" x14ac:dyDescent="0.25">
      <c r="A32" s="368"/>
      <c r="B32" s="462"/>
      <c r="C32" s="562" t="s">
        <v>473</v>
      </c>
      <c r="D32" s="63"/>
      <c r="E32" s="63"/>
      <c r="F32" s="63"/>
      <c r="G32" s="102"/>
      <c r="H32" s="368"/>
      <c r="I32" s="535"/>
      <c r="J32" s="496"/>
      <c r="K32" s="496"/>
      <c r="L32" s="496"/>
      <c r="Z32" s="165"/>
      <c r="AA32" s="165"/>
      <c r="AB32" s="165"/>
    </row>
    <row r="33" spans="1:28" x14ac:dyDescent="0.25">
      <c r="A33" s="368"/>
      <c r="B33" s="462"/>
      <c r="C33" s="191" t="s">
        <v>245</v>
      </c>
      <c r="D33" s="739">
        <f>'2015ER'!N5</f>
        <v>454.05152953528778</v>
      </c>
      <c r="E33" s="739">
        <f>'2025ER'!N5</f>
        <v>339.03493055368705</v>
      </c>
      <c r="F33" s="106">
        <f>TREND(D33:E33,$D$7:$E$7,$F$7)</f>
        <v>396.54323004448815</v>
      </c>
      <c r="G33" s="102"/>
      <c r="H33" s="368"/>
      <c r="I33" s="535"/>
      <c r="J33" s="496"/>
      <c r="K33" s="496"/>
      <c r="L33" s="496"/>
      <c r="Z33" s="165"/>
      <c r="AA33" s="165"/>
      <c r="AB33" s="165"/>
    </row>
    <row r="34" spans="1:28" x14ac:dyDescent="0.25">
      <c r="A34" s="368"/>
      <c r="B34" s="462"/>
      <c r="C34" s="191" t="s">
        <v>246</v>
      </c>
      <c r="D34" s="137">
        <f>'2015ER'!N22</f>
        <v>0.67985005321578229</v>
      </c>
      <c r="E34" s="137">
        <f>'2025ER'!N22</f>
        <v>0.14941526928904608</v>
      </c>
      <c r="F34" s="106">
        <f>TREND(D34:E34,$D$7:$E$7,$F$7)</f>
        <v>0.41463266125241205</v>
      </c>
      <c r="G34" s="102"/>
      <c r="H34" s="368"/>
      <c r="I34" s="535"/>
      <c r="K34" s="496"/>
      <c r="L34" s="496"/>
      <c r="Z34" s="165"/>
      <c r="AA34" s="165"/>
      <c r="AB34" s="165"/>
    </row>
    <row r="35" spans="1:28" x14ac:dyDescent="0.25">
      <c r="A35" s="368"/>
      <c r="B35" s="462"/>
      <c r="C35" s="191" t="s">
        <v>247</v>
      </c>
      <c r="D35" s="738">
        <f>'2015ER'!N39</f>
        <v>5.0362830300759364E-3</v>
      </c>
      <c r="E35" s="738">
        <f>'2025ER'!N39</f>
        <v>3.7400019499156025E-3</v>
      </c>
      <c r="F35" s="106">
        <f>TREND(D35:E35,$D$7:$E$7,$F$7)</f>
        <v>4.38814248999575E-3</v>
      </c>
      <c r="G35" s="102"/>
      <c r="H35" s="368"/>
      <c r="I35" s="496"/>
      <c r="K35" s="496"/>
      <c r="L35" s="496"/>
      <c r="Z35" s="165"/>
      <c r="AA35" s="165"/>
      <c r="AB35" s="165"/>
    </row>
    <row r="36" spans="1:28" x14ac:dyDescent="0.25">
      <c r="A36" s="368"/>
      <c r="B36" s="462"/>
      <c r="C36" s="191" t="s">
        <v>248</v>
      </c>
      <c r="D36" s="137">
        <f>'2015ER'!N56</f>
        <v>0.69402941257059469</v>
      </c>
      <c r="E36" s="137">
        <f>'2025ER'!N56</f>
        <v>0.15365682408510686</v>
      </c>
      <c r="F36" s="106">
        <f>TREND(D36:E36,$D$7:$E$7,$F$7)</f>
        <v>0.42384311832785215</v>
      </c>
      <c r="G36" s="102"/>
      <c r="H36" s="368"/>
      <c r="Z36" s="165"/>
      <c r="AA36" s="165"/>
      <c r="AB36" s="165"/>
    </row>
    <row r="37" spans="1:28" x14ac:dyDescent="0.25">
      <c r="A37" s="368"/>
      <c r="B37" s="462"/>
      <c r="C37" s="191" t="s">
        <v>249</v>
      </c>
      <c r="D37" s="137">
        <f>'2015ER'!N73</f>
        <v>0.23014103518835721</v>
      </c>
      <c r="E37" s="137">
        <f>'2025ER'!N73</f>
        <v>6.1392032891029527E-2</v>
      </c>
      <c r="F37" s="106">
        <f>TREND(D37:E37,$D$7:$E$7,$F$7)</f>
        <v>0.14576653403969431</v>
      </c>
      <c r="G37" s="102"/>
      <c r="H37" s="368"/>
      <c r="Z37" s="165"/>
      <c r="AA37" s="165"/>
      <c r="AB37" s="165"/>
    </row>
    <row r="38" spans="1:28" x14ac:dyDescent="0.25">
      <c r="A38" s="368"/>
      <c r="B38" s="724"/>
      <c r="C38" s="191" t="s">
        <v>602</v>
      </c>
      <c r="D38" s="738">
        <f>'2015ER'!N90</f>
        <v>8.9309311722981718E-3</v>
      </c>
      <c r="E38" s="738">
        <f>'2025ER'!N90</f>
        <v>2.3212277569883604E-3</v>
      </c>
      <c r="F38" s="106">
        <f t="shared" ref="F38:F39" si="1">TREND(D38:E38,$D$7:$E$7,$F$7)</f>
        <v>5.6260794646432188E-3</v>
      </c>
      <c r="G38" s="102"/>
      <c r="H38" s="368"/>
      <c r="Z38" s="165"/>
      <c r="AA38" s="165"/>
      <c r="AB38" s="165"/>
    </row>
    <row r="39" spans="1:28" x14ac:dyDescent="0.25">
      <c r="A39" s="368"/>
      <c r="B39" s="724"/>
      <c r="C39" s="191" t="s">
        <v>603</v>
      </c>
      <c r="D39" s="137">
        <f>'2015ER'!N107</f>
        <v>4.3942294047134425</v>
      </c>
      <c r="E39" s="137">
        <f>'2025ER'!N107</f>
        <v>2.3473601951617966</v>
      </c>
      <c r="F39" s="106">
        <f t="shared" si="1"/>
        <v>3.3707947999376415</v>
      </c>
      <c r="G39" s="102"/>
      <c r="H39" s="368"/>
      <c r="Z39" s="165"/>
      <c r="AA39" s="165"/>
      <c r="AB39" s="165"/>
    </row>
    <row r="40" spans="1:28" x14ac:dyDescent="0.25">
      <c r="A40" s="368"/>
      <c r="B40" s="462"/>
      <c r="C40" s="462"/>
      <c r="D40" s="462"/>
      <c r="E40" s="462"/>
      <c r="F40" s="462"/>
      <c r="G40" s="102"/>
      <c r="H40" s="368"/>
      <c r="Z40" s="165"/>
      <c r="AA40" s="165"/>
      <c r="AB40" s="165"/>
    </row>
    <row r="41" spans="1:28" ht="15.75" x14ac:dyDescent="0.25">
      <c r="A41" s="368"/>
      <c r="B41" s="462"/>
      <c r="C41" s="890" t="s">
        <v>317</v>
      </c>
      <c r="D41" s="890"/>
      <c r="E41" s="890"/>
      <c r="F41" s="890"/>
      <c r="G41" s="102"/>
      <c r="H41" s="368"/>
      <c r="Z41" s="165"/>
      <c r="AA41" s="165"/>
      <c r="AB41" s="165"/>
    </row>
    <row r="42" spans="1:28" ht="15.75" x14ac:dyDescent="0.25">
      <c r="A42" s="368"/>
      <c r="B42" s="462"/>
      <c r="C42" s="358" t="s">
        <v>468</v>
      </c>
      <c r="D42" s="357"/>
      <c r="E42" s="359"/>
      <c r="F42" s="358" t="s">
        <v>323</v>
      </c>
      <c r="G42" s="102"/>
      <c r="H42" s="368"/>
      <c r="Z42" s="165"/>
      <c r="AA42" s="165"/>
      <c r="AB42" s="165"/>
    </row>
    <row r="43" spans="1:28" x14ac:dyDescent="0.25">
      <c r="A43" s="368"/>
      <c r="B43" s="462"/>
      <c r="C43" s="373" t="s">
        <v>481</v>
      </c>
      <c r="D43" s="105"/>
      <c r="E43" s="105"/>
      <c r="F43" s="105">
        <f>F9*F11*2*F20</f>
        <v>12500</v>
      </c>
      <c r="G43" s="462"/>
      <c r="H43" s="368"/>
      <c r="Z43" s="165"/>
      <c r="AA43" s="165"/>
      <c r="AB43" s="165"/>
    </row>
    <row r="44" spans="1:28" x14ac:dyDescent="0.25">
      <c r="A44" s="368"/>
      <c r="B44" s="462"/>
      <c r="C44" s="373" t="s">
        <v>487</v>
      </c>
      <c r="D44" s="447"/>
      <c r="E44" s="447"/>
      <c r="F44" s="144">
        <f>F43*F21</f>
        <v>10416.666666666668</v>
      </c>
      <c r="G44" s="462"/>
      <c r="H44" s="368"/>
      <c r="Z44" s="165"/>
      <c r="AA44" s="165"/>
      <c r="AB44" s="165"/>
    </row>
    <row r="45" spans="1:28" x14ac:dyDescent="0.25">
      <c r="A45" s="368"/>
      <c r="B45" s="462"/>
      <c r="C45" s="373" t="s">
        <v>486</v>
      </c>
      <c r="D45" s="144"/>
      <c r="E45" s="144"/>
      <c r="F45" s="144">
        <f>F44*F22</f>
        <v>9375.0000000000018</v>
      </c>
      <c r="G45" s="462"/>
      <c r="H45" s="368"/>
    </row>
    <row r="46" spans="1:28" x14ac:dyDescent="0.25">
      <c r="A46" s="368"/>
      <c r="B46" s="462"/>
      <c r="C46" s="373" t="s">
        <v>479</v>
      </c>
      <c r="D46" s="447"/>
      <c r="E46" s="447"/>
      <c r="F46" s="447">
        <f>(F10*F9)*F20*2</f>
        <v>50000</v>
      </c>
      <c r="G46" s="462"/>
      <c r="H46" s="368"/>
      <c r="K46" s="530"/>
      <c r="L46" s="530"/>
    </row>
    <row r="47" spans="1:28" x14ac:dyDescent="0.25">
      <c r="A47" s="368"/>
      <c r="B47" s="462"/>
      <c r="C47" s="373" t="s">
        <v>488</v>
      </c>
      <c r="D47" s="144"/>
      <c r="E47" s="144"/>
      <c r="F47" s="144">
        <f>(F44*F10)-(F45*F23)</f>
        <v>57291.666666666679</v>
      </c>
      <c r="G47" s="462"/>
      <c r="H47" s="368"/>
    </row>
    <row r="48" spans="1:28" x14ac:dyDescent="0.25">
      <c r="A48" s="368"/>
      <c r="B48" s="462"/>
      <c r="C48" s="373" t="s">
        <v>489</v>
      </c>
      <c r="D48" s="144"/>
      <c r="E48" s="144"/>
      <c r="F48" s="144">
        <f>F47-F46</f>
        <v>7291.6666666666788</v>
      </c>
      <c r="G48" s="462"/>
      <c r="H48" s="368"/>
    </row>
    <row r="49" spans="1:12" ht="15.75" x14ac:dyDescent="0.25">
      <c r="A49" s="368"/>
      <c r="B49" s="462"/>
      <c r="C49" s="358" t="s">
        <v>471</v>
      </c>
      <c r="D49" s="357"/>
      <c r="E49" s="359"/>
      <c r="F49" s="358" t="s">
        <v>323</v>
      </c>
      <c r="G49" s="462"/>
      <c r="H49" s="368"/>
    </row>
    <row r="50" spans="1:12" x14ac:dyDescent="0.25">
      <c r="A50" s="368"/>
      <c r="B50" s="462"/>
      <c r="C50" s="373" t="s">
        <v>482</v>
      </c>
      <c r="D50" s="105"/>
      <c r="E50" s="105"/>
      <c r="F50" s="105">
        <f>F13*F15*2*F20</f>
        <v>27000</v>
      </c>
      <c r="G50" s="462"/>
      <c r="H50" s="368"/>
      <c r="L50" s="575"/>
    </row>
    <row r="51" spans="1:12" x14ac:dyDescent="0.25">
      <c r="A51" s="368"/>
      <c r="B51" s="462"/>
      <c r="C51" s="373" t="s">
        <v>487</v>
      </c>
      <c r="D51" s="447"/>
      <c r="E51" s="447"/>
      <c r="F51" s="447">
        <f>F50*F21</f>
        <v>22500</v>
      </c>
      <c r="G51" s="102"/>
      <c r="H51" s="368"/>
    </row>
    <row r="52" spans="1:12" x14ac:dyDescent="0.25">
      <c r="A52" s="368"/>
      <c r="B52" s="462"/>
      <c r="C52" s="373" t="s">
        <v>486</v>
      </c>
      <c r="D52" s="144"/>
      <c r="E52" s="144"/>
      <c r="F52" s="144">
        <f>F51*F22</f>
        <v>20250</v>
      </c>
      <c r="G52" s="102"/>
      <c r="H52" s="368"/>
    </row>
    <row r="53" spans="1:12" x14ac:dyDescent="0.25">
      <c r="A53" s="368"/>
      <c r="B53" s="462"/>
      <c r="C53" s="373" t="s">
        <v>480</v>
      </c>
      <c r="D53" s="447"/>
      <c r="E53" s="447"/>
      <c r="F53" s="447">
        <f>(F14*F13)*F20*2</f>
        <v>90000</v>
      </c>
      <c r="G53" s="102"/>
      <c r="H53" s="368"/>
    </row>
    <row r="54" spans="1:12" x14ac:dyDescent="0.25">
      <c r="A54" s="368"/>
      <c r="B54" s="462"/>
      <c r="C54" s="373" t="s">
        <v>490</v>
      </c>
      <c r="D54" s="144"/>
      <c r="E54" s="144"/>
      <c r="F54" s="144">
        <f>(F51*F14)-(F52*F23)</f>
        <v>236250</v>
      </c>
      <c r="G54" s="102"/>
      <c r="H54" s="368"/>
    </row>
    <row r="55" spans="1:12" x14ac:dyDescent="0.25">
      <c r="A55" s="368"/>
      <c r="B55" s="462"/>
      <c r="C55" s="373" t="s">
        <v>491</v>
      </c>
      <c r="D55" s="144"/>
      <c r="E55" s="144"/>
      <c r="F55" s="144">
        <f>F54-F53</f>
        <v>146250</v>
      </c>
      <c r="G55" s="102"/>
      <c r="H55" s="368"/>
    </row>
    <row r="56" spans="1:12" x14ac:dyDescent="0.25">
      <c r="A56" s="368"/>
      <c r="B56" s="462"/>
      <c r="C56" s="1"/>
      <c r="D56" s="107"/>
      <c r="E56" s="107"/>
      <c r="F56" s="107"/>
      <c r="G56" s="102"/>
      <c r="H56" s="368"/>
      <c r="I56" s="574"/>
    </row>
    <row r="57" spans="1:12" ht="15.75" x14ac:dyDescent="0.25">
      <c r="A57" s="368"/>
      <c r="B57" s="462"/>
      <c r="C57" s="887" t="s">
        <v>318</v>
      </c>
      <c r="D57" s="887"/>
      <c r="E57" s="887"/>
      <c r="F57" s="887"/>
      <c r="G57" s="102"/>
      <c r="H57" s="368"/>
    </row>
    <row r="58" spans="1:12" ht="15.75" thickBot="1" x14ac:dyDescent="0.3">
      <c r="A58" s="368"/>
      <c r="B58" s="462"/>
      <c r="C58" s="369" t="s">
        <v>319</v>
      </c>
      <c r="D58" s="369"/>
      <c r="E58" s="369"/>
      <c r="F58" s="369"/>
      <c r="G58" s="102"/>
      <c r="H58" s="368"/>
    </row>
    <row r="59" spans="1:12" x14ac:dyDescent="0.25">
      <c r="A59" s="368"/>
      <c r="B59" s="180"/>
      <c r="C59" s="364" t="s">
        <v>116</v>
      </c>
      <c r="D59" s="679"/>
      <c r="E59" s="677"/>
      <c r="F59" s="479" t="s">
        <v>187</v>
      </c>
      <c r="G59" s="102"/>
      <c r="H59" s="368"/>
    </row>
    <row r="60" spans="1:12" ht="15.75" thickBot="1" x14ac:dyDescent="0.3">
      <c r="A60" s="368"/>
      <c r="B60" s="180"/>
      <c r="C60" s="493" t="s">
        <v>411</v>
      </c>
      <c r="D60" s="681"/>
      <c r="E60" s="678"/>
      <c r="F60" s="481">
        <f>F48+F55</f>
        <v>153541.66666666669</v>
      </c>
      <c r="G60" s="102"/>
      <c r="H60" s="368"/>
    </row>
    <row r="61" spans="1:12" x14ac:dyDescent="0.25">
      <c r="A61" s="368"/>
      <c r="B61" s="462"/>
      <c r="C61" s="462"/>
      <c r="D61" s="462"/>
      <c r="E61" s="462"/>
      <c r="F61" s="462"/>
      <c r="G61" s="102"/>
      <c r="H61" s="368"/>
    </row>
    <row r="62" spans="1:12" ht="15.75" thickBot="1" x14ac:dyDescent="0.3">
      <c r="A62" s="368"/>
      <c r="B62" s="462"/>
      <c r="C62" s="369" t="s">
        <v>478</v>
      </c>
      <c r="D62" s="47"/>
      <c r="E62" s="47"/>
      <c r="F62" s="47"/>
      <c r="G62" s="462"/>
      <c r="H62" s="368"/>
    </row>
    <row r="63" spans="1:12" x14ac:dyDescent="0.25">
      <c r="A63" s="368"/>
      <c r="B63" s="180"/>
      <c r="C63" s="364" t="s">
        <v>608</v>
      </c>
      <c r="D63" s="695"/>
      <c r="E63" s="693"/>
      <c r="F63" s="572">
        <f>($F$46*F25)+($F$53*F25)</f>
        <v>47226539.69712767</v>
      </c>
      <c r="G63" s="462"/>
      <c r="H63" s="368"/>
    </row>
    <row r="64" spans="1:12" x14ac:dyDescent="0.25">
      <c r="A64" s="368"/>
      <c r="B64" s="180"/>
      <c r="C64" s="365" t="s">
        <v>609</v>
      </c>
      <c r="D64" s="696"/>
      <c r="E64" s="694"/>
      <c r="F64" s="573">
        <f>($F$46*F26)+($F$53*F26)</f>
        <v>42294.872606211124</v>
      </c>
      <c r="G64" s="462"/>
      <c r="H64" s="368"/>
    </row>
    <row r="65" spans="1:11" x14ac:dyDescent="0.25">
      <c r="A65" s="368"/>
      <c r="B65" s="180"/>
      <c r="C65" s="365" t="s">
        <v>610</v>
      </c>
      <c r="D65" s="696"/>
      <c r="E65" s="694"/>
      <c r="F65" s="573">
        <f>($F$46*F27)+($F$53*F27)</f>
        <v>521.2334153677117</v>
      </c>
      <c r="G65" s="462"/>
      <c r="H65" s="368"/>
      <c r="J65" s="575"/>
    </row>
    <row r="66" spans="1:11" x14ac:dyDescent="0.25">
      <c r="A66" s="368"/>
      <c r="B66" s="180"/>
      <c r="C66" s="365" t="s">
        <v>611</v>
      </c>
      <c r="D66" s="696"/>
      <c r="E66" s="694"/>
      <c r="F66" s="573">
        <f>($F$46*F28)+($F$53*F28)</f>
        <v>43949.992699949689</v>
      </c>
      <c r="G66" s="462"/>
      <c r="H66" s="368"/>
    </row>
    <row r="67" spans="1:11" x14ac:dyDescent="0.25">
      <c r="A67" s="368"/>
      <c r="B67" s="180"/>
      <c r="C67" s="256" t="s">
        <v>612</v>
      </c>
      <c r="D67" s="696"/>
      <c r="E67" s="694"/>
      <c r="F67" s="573">
        <f>($F$46*F29)+($F$53*F29)</f>
        <v>16446.850610160764</v>
      </c>
      <c r="G67" s="172"/>
      <c r="H67" s="368"/>
    </row>
    <row r="68" spans="1:11" x14ac:dyDescent="0.25">
      <c r="A68" s="368"/>
      <c r="B68" s="180"/>
      <c r="C68" s="365" t="s">
        <v>613</v>
      </c>
      <c r="D68" s="740"/>
      <c r="E68" s="694"/>
      <c r="F68" s="573">
        <f t="shared" ref="F68:F69" si="2">($F$46*F30)+($F$53*F30)</f>
        <v>668.23201918731365</v>
      </c>
      <c r="G68" s="172"/>
      <c r="H68" s="368"/>
    </row>
    <row r="69" spans="1:11" ht="15.75" thickBot="1" x14ac:dyDescent="0.3">
      <c r="A69" s="368"/>
      <c r="B69" s="180"/>
      <c r="C69" s="493" t="s">
        <v>614</v>
      </c>
      <c r="D69" s="697"/>
      <c r="E69" s="698"/>
      <c r="F69" s="573">
        <f t="shared" si="2"/>
        <v>377787.32579373359</v>
      </c>
      <c r="G69" s="172"/>
      <c r="H69" s="368"/>
    </row>
    <row r="70" spans="1:11" ht="15.75" thickBot="1" x14ac:dyDescent="0.3">
      <c r="A70" s="368"/>
      <c r="B70" s="724"/>
      <c r="C70" s="778" t="s">
        <v>329</v>
      </c>
      <c r="D70" s="724"/>
      <c r="E70" s="724"/>
      <c r="F70" s="825"/>
      <c r="G70" s="172"/>
      <c r="H70" s="368"/>
    </row>
    <row r="71" spans="1:11" x14ac:dyDescent="0.25">
      <c r="A71" s="368"/>
      <c r="B71" s="2"/>
      <c r="C71" s="850" t="s">
        <v>701</v>
      </c>
      <c r="D71" s="794"/>
      <c r="E71" s="794"/>
      <c r="F71" s="827">
        <f>(($F$47*F25)+($F$54*F33)-F63)/1000</f>
        <v>65783.135330510791</v>
      </c>
      <c r="G71" s="172"/>
      <c r="H71" s="368"/>
    </row>
    <row r="72" spans="1:11" x14ac:dyDescent="0.25">
      <c r="A72" s="368"/>
      <c r="B72" s="2"/>
      <c r="C72" s="851" t="s">
        <v>702</v>
      </c>
      <c r="D72" s="781"/>
      <c r="E72" s="781"/>
      <c r="F72" s="828">
        <f t="shared" ref="F72:F77" si="3">(($F$47*F26)+($F$54*F34)-F64)/1000</f>
        <v>72.97026320798679</v>
      </c>
      <c r="G72" s="172"/>
      <c r="H72" s="368"/>
    </row>
    <row r="73" spans="1:11" x14ac:dyDescent="0.25">
      <c r="A73" s="368"/>
      <c r="B73" s="2"/>
      <c r="C73" s="851" t="s">
        <v>703</v>
      </c>
      <c r="D73" s="781"/>
      <c r="E73" s="781"/>
      <c r="F73" s="828">
        <f t="shared" si="3"/>
        <v>0.72876761281360691</v>
      </c>
      <c r="G73" s="724"/>
      <c r="H73" s="368"/>
      <c r="K73" s="575"/>
    </row>
    <row r="74" spans="1:11" x14ac:dyDescent="0.25">
      <c r="A74" s="368"/>
      <c r="B74" s="2"/>
      <c r="C74" s="869" t="s">
        <v>704</v>
      </c>
      <c r="D74" s="780"/>
      <c r="E74" s="780"/>
      <c r="F74" s="829">
        <f t="shared" si="3"/>
        <v>74.168432089062179</v>
      </c>
      <c r="G74" s="724"/>
      <c r="H74" s="368"/>
    </row>
    <row r="75" spans="1:11" x14ac:dyDescent="0.25">
      <c r="A75" s="368"/>
      <c r="B75" s="2"/>
      <c r="C75" s="869" t="s">
        <v>705</v>
      </c>
      <c r="D75" s="780"/>
      <c r="E75" s="780"/>
      <c r="F75" s="829">
        <f t="shared" si="3"/>
        <v>24.72097507724412</v>
      </c>
      <c r="G75" s="724"/>
      <c r="H75" s="368"/>
    </row>
    <row r="76" spans="1:11" x14ac:dyDescent="0.25">
      <c r="A76" s="368"/>
      <c r="B76" s="2"/>
      <c r="C76" s="869" t="s">
        <v>706</v>
      </c>
      <c r="D76" s="780"/>
      <c r="E76" s="780"/>
      <c r="F76" s="829">
        <f t="shared" si="3"/>
        <v>0.93438729790088382</v>
      </c>
      <c r="G76" s="724"/>
      <c r="H76" s="368"/>
    </row>
    <row r="77" spans="1:11" ht="15.75" thickBot="1" x14ac:dyDescent="0.3">
      <c r="A77" s="368"/>
      <c r="B77" s="2"/>
      <c r="C77" s="870" t="s">
        <v>707</v>
      </c>
      <c r="D77" s="789"/>
      <c r="E77" s="789"/>
      <c r="F77" s="830">
        <f t="shared" si="3"/>
        <v>573.16341383629128</v>
      </c>
      <c r="G77" s="724"/>
      <c r="H77" s="368"/>
    </row>
    <row r="78" spans="1:11" x14ac:dyDescent="0.25">
      <c r="A78" s="368"/>
      <c r="B78" s="2"/>
      <c r="C78" s="850" t="s">
        <v>722</v>
      </c>
      <c r="D78" s="821"/>
      <c r="E78" s="821"/>
      <c r="F78" s="783">
        <f>F71/F$20</f>
        <v>263.13254132204315</v>
      </c>
      <c r="G78" s="724"/>
      <c r="H78" s="368"/>
    </row>
    <row r="79" spans="1:11" x14ac:dyDescent="0.25">
      <c r="A79" s="368"/>
      <c r="B79" s="2"/>
      <c r="C79" s="869" t="s">
        <v>723</v>
      </c>
      <c r="D79" s="820"/>
      <c r="E79" s="820"/>
      <c r="F79" s="784">
        <f t="shared" ref="F79:F84" si="4">F72/F$20</f>
        <v>0.29188105283194715</v>
      </c>
      <c r="G79" s="724"/>
      <c r="H79" s="368"/>
    </row>
    <row r="80" spans="1:11" x14ac:dyDescent="0.25">
      <c r="A80" s="368"/>
      <c r="B80" s="2"/>
      <c r="C80" s="869" t="s">
        <v>724</v>
      </c>
      <c r="D80" s="820"/>
      <c r="E80" s="820"/>
      <c r="F80" s="784">
        <f t="shared" si="4"/>
        <v>2.9150704512544276E-3</v>
      </c>
      <c r="G80" s="724"/>
      <c r="H80" s="368"/>
    </row>
    <row r="81" spans="1:8" x14ac:dyDescent="0.25">
      <c r="A81" s="368"/>
      <c r="B81" s="2"/>
      <c r="C81" s="851" t="s">
        <v>725</v>
      </c>
      <c r="D81" s="826"/>
      <c r="E81" s="826"/>
      <c r="F81" s="785">
        <f t="shared" si="4"/>
        <v>0.29667372835624872</v>
      </c>
      <c r="G81" s="724"/>
      <c r="H81" s="368"/>
    </row>
    <row r="82" spans="1:8" x14ac:dyDescent="0.25">
      <c r="A82" s="368"/>
      <c r="B82" s="2"/>
      <c r="C82" s="851" t="s">
        <v>726</v>
      </c>
      <c r="D82" s="826"/>
      <c r="E82" s="826"/>
      <c r="F82" s="785">
        <f t="shared" si="4"/>
        <v>9.888390030897648E-2</v>
      </c>
      <c r="G82" s="724"/>
      <c r="H82" s="368"/>
    </row>
    <row r="83" spans="1:8" x14ac:dyDescent="0.25">
      <c r="A83" s="368"/>
      <c r="B83" s="2"/>
      <c r="C83" s="869" t="s">
        <v>730</v>
      </c>
      <c r="D83" s="820"/>
      <c r="E83" s="820"/>
      <c r="F83" s="784">
        <f t="shared" si="4"/>
        <v>3.7375491916035353E-3</v>
      </c>
      <c r="G83" s="724"/>
      <c r="H83" s="368"/>
    </row>
    <row r="84" spans="1:8" ht="15.75" thickBot="1" x14ac:dyDescent="0.3">
      <c r="A84" s="368"/>
      <c r="B84" s="2"/>
      <c r="C84" s="873" t="s">
        <v>729</v>
      </c>
      <c r="D84" s="831"/>
      <c r="E84" s="831"/>
      <c r="F84" s="787">
        <f t="shared" si="4"/>
        <v>2.2926536553451653</v>
      </c>
      <c r="G84" s="724"/>
      <c r="H84" s="368"/>
    </row>
    <row r="85" spans="1:8" ht="15.75" thickBot="1" x14ac:dyDescent="0.3">
      <c r="A85" s="368"/>
      <c r="B85" s="724"/>
      <c r="C85" s="724"/>
      <c r="D85" s="724"/>
      <c r="E85" s="724"/>
      <c r="F85" s="724"/>
      <c r="G85" s="102"/>
      <c r="H85" s="368"/>
    </row>
    <row r="86" spans="1:8" x14ac:dyDescent="0.25">
      <c r="A86" s="368"/>
      <c r="B86" s="2"/>
      <c r="C86" s="850" t="s">
        <v>715</v>
      </c>
      <c r="D86" s="832"/>
      <c r="E86" s="832"/>
      <c r="F86" s="795">
        <v>1441634</v>
      </c>
      <c r="G86" s="724"/>
      <c r="H86" s="368"/>
    </row>
    <row r="87" spans="1:8" x14ac:dyDescent="0.25">
      <c r="A87" s="368"/>
      <c r="B87" s="2"/>
      <c r="C87" s="869" t="s">
        <v>716</v>
      </c>
      <c r="D87" s="820"/>
      <c r="E87" s="820"/>
      <c r="F87" s="796">
        <v>1</v>
      </c>
      <c r="G87" s="724"/>
      <c r="H87" s="368"/>
    </row>
    <row r="88" spans="1:8" x14ac:dyDescent="0.25">
      <c r="A88" s="368"/>
      <c r="B88" s="2"/>
      <c r="C88" s="851" t="s">
        <v>717</v>
      </c>
      <c r="D88" s="826"/>
      <c r="E88" s="826"/>
      <c r="F88" s="797">
        <f>(F$86/F$87)/F72</f>
        <v>19756.45881790117</v>
      </c>
      <c r="G88" s="724"/>
      <c r="H88" s="368"/>
    </row>
    <row r="89" spans="1:8" x14ac:dyDescent="0.25">
      <c r="A89" s="368"/>
      <c r="B89" s="2"/>
      <c r="C89" s="851" t="s">
        <v>718</v>
      </c>
      <c r="D89" s="826"/>
      <c r="E89" s="826"/>
      <c r="F89" s="797">
        <f>(F$86/F$87)/F73</f>
        <v>1978180.6637018037</v>
      </c>
      <c r="G89" s="724"/>
      <c r="H89" s="368"/>
    </row>
    <row r="90" spans="1:8" x14ac:dyDescent="0.25">
      <c r="A90" s="368"/>
      <c r="B90" s="2"/>
      <c r="C90" s="851" t="s">
        <v>719</v>
      </c>
      <c r="D90" s="826"/>
      <c r="E90" s="826"/>
      <c r="F90" s="797">
        <f>((F$86/F$87)/F$20)/F81</f>
        <v>19437.299123013301</v>
      </c>
      <c r="G90" s="724"/>
      <c r="H90" s="368"/>
    </row>
    <row r="91" spans="1:8" x14ac:dyDescent="0.25">
      <c r="A91" s="368"/>
      <c r="B91" s="2"/>
      <c r="C91" s="851" t="s">
        <v>720</v>
      </c>
      <c r="D91" s="826"/>
      <c r="E91" s="826"/>
      <c r="F91" s="797">
        <f>(F$86/F$87/F$20)/F82</f>
        <v>58316.227231952398</v>
      </c>
      <c r="G91" s="724"/>
      <c r="H91" s="368"/>
    </row>
    <row r="92" spans="1:8" ht="15.75" thickBot="1" x14ac:dyDescent="0.3">
      <c r="A92" s="368"/>
      <c r="B92" s="2"/>
      <c r="C92" s="873" t="s">
        <v>721</v>
      </c>
      <c r="D92" s="831"/>
      <c r="E92" s="831"/>
      <c r="F92" s="809">
        <f>(F$86/F$87/F$20)/F84</f>
        <v>2515.2233467779643</v>
      </c>
      <c r="G92" s="724"/>
      <c r="H92" s="368"/>
    </row>
    <row r="93" spans="1:8" x14ac:dyDescent="0.25">
      <c r="A93" s="368"/>
      <c r="B93" s="724"/>
      <c r="C93" s="724"/>
      <c r="D93" s="724"/>
      <c r="E93" s="724"/>
      <c r="F93" s="724"/>
      <c r="G93" s="724"/>
      <c r="H93" s="368"/>
    </row>
    <row r="94" spans="1:8" x14ac:dyDescent="0.25">
      <c r="A94" s="368"/>
      <c r="B94" s="368"/>
      <c r="C94" s="368"/>
      <c r="D94" s="368"/>
      <c r="E94" s="368"/>
      <c r="F94" s="368"/>
      <c r="G94" s="368"/>
      <c r="H94" s="368"/>
    </row>
  </sheetData>
  <mergeCells count="6">
    <mergeCell ref="C57:F57"/>
    <mergeCell ref="C2:F2"/>
    <mergeCell ref="C3:F3"/>
    <mergeCell ref="C5:F5"/>
    <mergeCell ref="C17:F17"/>
    <mergeCell ref="C41:F41"/>
  </mergeCells>
  <dataValidations count="1">
    <dataValidation type="list" allowBlank="1" showInputMessage="1" showErrorMessage="1" sqref="D13:E13">
      <formula1>$A$337:$A$342</formula1>
    </dataValidation>
  </dataValidations>
  <printOptions headings="1" gridLines="1"/>
  <pageMargins left="0.7" right="0.7" top="0.75" bottom="0.75" header="0.3" footer="0.3"/>
  <pageSetup paperSize="17" scale="7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OtherVariables!$A$238:$A$243</xm:f>
          </x14:formula1>
          <xm:sqref>D9:E12</xm:sqref>
        </x14:dataValidation>
        <x14:dataValidation type="list" allowBlank="1" showInputMessage="1" showErrorMessage="1">
          <x14:formula1>
            <xm:f>OtherVariables!$P$24:$P$34</xm:f>
          </x14:formula1>
          <xm:sqref>F7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31"/>
  <sheetViews>
    <sheetView zoomScale="75" zoomScaleNormal="75" workbookViewId="0">
      <pane ySplit="4" topLeftCell="A5" activePane="bottomLeft" state="frozenSplit"/>
      <selection pane="bottomLeft" activeCell="I22" sqref="I22"/>
    </sheetView>
  </sheetViews>
  <sheetFormatPr defaultRowHeight="15" x14ac:dyDescent="0.25"/>
  <cols>
    <col min="1" max="1" width="13.28515625" style="171" bestFit="1" customWidth="1"/>
    <col min="2" max="2" width="13.28515625" style="171" customWidth="1"/>
    <col min="3" max="3" width="9.140625" style="171"/>
    <col min="4" max="4" width="12.42578125" style="171" bestFit="1" customWidth="1"/>
    <col min="5" max="24" width="10.140625" style="171" customWidth="1"/>
    <col min="25" max="38" width="10.7109375" style="171" bestFit="1" customWidth="1"/>
    <col min="39" max="16384" width="9.140625" style="171"/>
  </cols>
  <sheetData>
    <row r="1" spans="1:48" x14ac:dyDescent="0.25">
      <c r="A1" s="1031" t="s">
        <v>578</v>
      </c>
      <c r="B1" s="1032"/>
      <c r="C1" s="1032"/>
      <c r="D1" s="1032"/>
      <c r="E1" s="1032"/>
      <c r="F1" s="1032"/>
      <c r="G1" s="1032"/>
      <c r="H1" s="1032"/>
      <c r="I1" s="1032"/>
      <c r="J1" s="1032"/>
      <c r="K1" s="1032"/>
      <c r="L1" s="1032"/>
      <c r="M1" s="1032"/>
      <c r="N1" s="1032"/>
      <c r="O1" s="1032"/>
      <c r="P1" s="1032"/>
      <c r="Q1" s="1032"/>
      <c r="R1" s="1032"/>
      <c r="S1" s="1032"/>
      <c r="T1" s="1032"/>
      <c r="U1" s="1032"/>
      <c r="V1" s="1032"/>
      <c r="W1" s="1032"/>
      <c r="X1" s="1032"/>
      <c r="Z1" s="1033" t="s">
        <v>580</v>
      </c>
      <c r="AA1" s="1034"/>
      <c r="AB1" s="1034"/>
      <c r="AC1" s="1034"/>
      <c r="AD1" s="1034"/>
      <c r="AE1" s="1034"/>
      <c r="AF1" s="1034"/>
      <c r="AG1" s="1034"/>
      <c r="AH1" s="1034"/>
      <c r="AI1" s="1034"/>
      <c r="AJ1" s="1034"/>
      <c r="AK1" s="1034"/>
      <c r="AL1" s="1034"/>
      <c r="AM1" s="1034"/>
      <c r="AN1" s="1034"/>
      <c r="AO1" s="1034"/>
      <c r="AP1" s="1034"/>
      <c r="AQ1" s="1034"/>
      <c r="AR1" s="1034"/>
      <c r="AS1" s="1034"/>
      <c r="AT1" s="1034"/>
      <c r="AU1" s="1034"/>
      <c r="AV1" s="1034"/>
    </row>
    <row r="2" spans="1:48" x14ac:dyDescent="0.25">
      <c r="A2" s="108"/>
      <c r="B2" s="108"/>
      <c r="C2" s="108"/>
      <c r="D2" s="108"/>
      <c r="E2" s="1036" t="s">
        <v>166</v>
      </c>
      <c r="F2" s="1037"/>
      <c r="G2" s="1037"/>
      <c r="H2" s="1037"/>
      <c r="I2" s="1038"/>
      <c r="J2" s="1035" t="s">
        <v>582</v>
      </c>
      <c r="K2" s="1035"/>
      <c r="L2" s="1035"/>
      <c r="M2" s="1035"/>
      <c r="N2" s="1035"/>
      <c r="O2" s="1036" t="s">
        <v>165</v>
      </c>
      <c r="P2" s="1037"/>
      <c r="Q2" s="1037"/>
      <c r="R2" s="1037"/>
      <c r="S2" s="1038"/>
      <c r="T2" s="1036" t="s">
        <v>167</v>
      </c>
      <c r="U2" s="1037"/>
      <c r="V2" s="1037"/>
      <c r="W2" s="1037"/>
      <c r="X2" s="1038"/>
      <c r="Z2" s="109"/>
      <c r="AA2" s="109"/>
      <c r="AB2" s="109"/>
      <c r="AC2" s="1028" t="s">
        <v>166</v>
      </c>
      <c r="AD2" s="1029"/>
      <c r="AE2" s="1029"/>
      <c r="AF2" s="1029"/>
      <c r="AG2" s="1030"/>
      <c r="AH2" s="1028" t="s">
        <v>165</v>
      </c>
      <c r="AI2" s="1029"/>
      <c r="AJ2" s="1029"/>
      <c r="AK2" s="1029"/>
      <c r="AL2" s="1030"/>
      <c r="AM2" s="1028" t="s">
        <v>579</v>
      </c>
      <c r="AN2" s="1029"/>
      <c r="AO2" s="1029"/>
      <c r="AP2" s="1029"/>
      <c r="AQ2" s="1030"/>
      <c r="AR2" s="1028" t="s">
        <v>167</v>
      </c>
      <c r="AS2" s="1029"/>
      <c r="AT2" s="1029"/>
      <c r="AU2" s="1029"/>
      <c r="AV2" s="1030"/>
    </row>
    <row r="3" spans="1:48" x14ac:dyDescent="0.25">
      <c r="A3" s="108" t="s">
        <v>168</v>
      </c>
      <c r="B3" s="108" t="s">
        <v>169</v>
      </c>
      <c r="C3" s="108" t="s">
        <v>170</v>
      </c>
      <c r="D3" s="108" t="s">
        <v>171</v>
      </c>
      <c r="E3" s="108">
        <v>2</v>
      </c>
      <c r="F3" s="108">
        <v>3</v>
      </c>
      <c r="G3" s="108">
        <v>4</v>
      </c>
      <c r="H3" s="108">
        <v>5</v>
      </c>
      <c r="I3" s="108" t="s">
        <v>172</v>
      </c>
      <c r="J3" s="727">
        <v>2</v>
      </c>
      <c r="K3" s="727">
        <v>3</v>
      </c>
      <c r="L3" s="727">
        <v>4</v>
      </c>
      <c r="M3" s="727">
        <v>5</v>
      </c>
      <c r="N3" s="727" t="s">
        <v>172</v>
      </c>
      <c r="O3" s="108">
        <v>2</v>
      </c>
      <c r="P3" s="108">
        <v>3</v>
      </c>
      <c r="Q3" s="108">
        <v>4</v>
      </c>
      <c r="R3" s="108">
        <v>5</v>
      </c>
      <c r="S3" s="108" t="s">
        <v>172</v>
      </c>
      <c r="T3" s="108">
        <v>2</v>
      </c>
      <c r="U3" s="108">
        <v>3</v>
      </c>
      <c r="V3" s="108">
        <v>4</v>
      </c>
      <c r="W3" s="108">
        <v>5</v>
      </c>
      <c r="X3" s="108" t="s">
        <v>172</v>
      </c>
      <c r="Z3" s="109" t="s">
        <v>572</v>
      </c>
      <c r="AA3" s="109" t="s">
        <v>169</v>
      </c>
      <c r="AB3" s="109" t="s">
        <v>170</v>
      </c>
      <c r="AC3" s="109">
        <v>2</v>
      </c>
      <c r="AD3" s="109">
        <v>3</v>
      </c>
      <c r="AE3" s="109">
        <v>4</v>
      </c>
      <c r="AF3" s="109">
        <v>5</v>
      </c>
      <c r="AG3" s="109" t="s">
        <v>172</v>
      </c>
      <c r="AH3" s="109">
        <v>2</v>
      </c>
      <c r="AI3" s="109">
        <v>3</v>
      </c>
      <c r="AJ3" s="109">
        <v>4</v>
      </c>
      <c r="AK3" s="109">
        <v>5</v>
      </c>
      <c r="AL3" s="109" t="s">
        <v>172</v>
      </c>
      <c r="AM3" s="109">
        <v>2</v>
      </c>
      <c r="AN3" s="109">
        <v>3</v>
      </c>
      <c r="AO3" s="109">
        <v>4</v>
      </c>
      <c r="AP3" s="109">
        <v>5</v>
      </c>
      <c r="AQ3" s="109" t="s">
        <v>172</v>
      </c>
      <c r="AR3" s="109">
        <v>2</v>
      </c>
      <c r="AS3" s="109">
        <v>3</v>
      </c>
      <c r="AT3" s="109">
        <v>4</v>
      </c>
      <c r="AU3" s="109">
        <v>5</v>
      </c>
      <c r="AV3" s="109" t="s">
        <v>172</v>
      </c>
    </row>
    <row r="4" spans="1:48" x14ac:dyDescent="0.25">
      <c r="A4" s="727" t="s">
        <v>648</v>
      </c>
      <c r="B4" s="727" t="s">
        <v>173</v>
      </c>
      <c r="C4" s="727" t="s">
        <v>649</v>
      </c>
      <c r="D4" s="727" t="s">
        <v>574</v>
      </c>
      <c r="E4" s="727" t="s">
        <v>650</v>
      </c>
      <c r="F4" s="727" t="s">
        <v>651</v>
      </c>
      <c r="G4" s="727" t="s">
        <v>652</v>
      </c>
      <c r="H4" s="727" t="s">
        <v>653</v>
      </c>
      <c r="I4" s="727" t="s">
        <v>654</v>
      </c>
      <c r="J4" s="727" t="s">
        <v>650</v>
      </c>
      <c r="K4" s="727" t="s">
        <v>651</v>
      </c>
      <c r="L4" s="727" t="s">
        <v>652</v>
      </c>
      <c r="M4" s="727" t="s">
        <v>653</v>
      </c>
      <c r="N4" s="727" t="s">
        <v>654</v>
      </c>
      <c r="O4" s="727" t="s">
        <v>650</v>
      </c>
      <c r="P4" s="727" t="s">
        <v>651</v>
      </c>
      <c r="Q4" s="727" t="s">
        <v>655</v>
      </c>
      <c r="R4" s="727" t="s">
        <v>653</v>
      </c>
      <c r="S4" s="727" t="s">
        <v>654</v>
      </c>
      <c r="T4" s="727" t="s">
        <v>650</v>
      </c>
      <c r="U4" s="727" t="s">
        <v>651</v>
      </c>
      <c r="V4" s="727" t="s">
        <v>655</v>
      </c>
      <c r="W4" s="727" t="s">
        <v>653</v>
      </c>
      <c r="X4" s="727" t="s">
        <v>654</v>
      </c>
      <c r="Y4" s="130"/>
      <c r="Z4" s="33" t="s">
        <v>573</v>
      </c>
      <c r="AA4" s="33" t="s">
        <v>173</v>
      </c>
      <c r="AB4" s="33" t="s">
        <v>174</v>
      </c>
      <c r="AC4" s="33">
        <v>3544.7317355931127</v>
      </c>
      <c r="AD4" s="33">
        <v>3544.7317355931109</v>
      </c>
      <c r="AE4" s="33">
        <v>3544.7317355931123</v>
      </c>
      <c r="AF4" s="33">
        <v>3544.7317355931127</v>
      </c>
      <c r="AG4" s="33">
        <v>3544.7317355931123</v>
      </c>
      <c r="AH4" s="33">
        <v>4218.95</v>
      </c>
      <c r="AI4" s="33">
        <v>4218.95</v>
      </c>
      <c r="AJ4" s="33">
        <v>4218.9500000000007</v>
      </c>
      <c r="AK4" s="33">
        <v>4218.95</v>
      </c>
      <c r="AL4" s="33">
        <v>4218.95</v>
      </c>
      <c r="AM4" s="33">
        <v>7742.8533840579757</v>
      </c>
      <c r="AN4" s="33">
        <v>7742.8533840579685</v>
      </c>
      <c r="AO4" s="33">
        <v>7742.8533840579685</v>
      </c>
      <c r="AP4" s="33">
        <v>7742.8533840579721</v>
      </c>
      <c r="AQ4" s="33">
        <v>7742.8533840579694</v>
      </c>
      <c r="AR4" s="33">
        <v>7701.2468158869042</v>
      </c>
      <c r="AS4" s="33">
        <v>7701.2468158869078</v>
      </c>
      <c r="AT4" s="33">
        <v>7701.246815886906</v>
      </c>
      <c r="AU4" s="33">
        <v>7701.246815886906</v>
      </c>
      <c r="AV4" s="33">
        <v>7701.2468158869069</v>
      </c>
    </row>
    <row r="5" spans="1:48" x14ac:dyDescent="0.25">
      <c r="A5" s="33" t="s">
        <v>573</v>
      </c>
      <c r="B5" s="33" t="s">
        <v>173</v>
      </c>
      <c r="C5" s="33" t="s">
        <v>174</v>
      </c>
      <c r="D5" s="744" t="s">
        <v>574</v>
      </c>
      <c r="E5" s="748">
        <v>366.82890405773662</v>
      </c>
      <c r="F5" s="748">
        <v>374.25192440998103</v>
      </c>
      <c r="G5" s="748">
        <v>362.73572799783051</v>
      </c>
      <c r="H5" s="748">
        <v>406.65184108391753</v>
      </c>
      <c r="I5" s="748">
        <v>384.35859582077808</v>
      </c>
      <c r="J5" s="748">
        <v>441.84330668502855</v>
      </c>
      <c r="K5" s="748">
        <v>442.59341466114614</v>
      </c>
      <c r="L5" s="748">
        <v>431.13948623479149</v>
      </c>
      <c r="M5" s="748">
        <v>476.76874508351966</v>
      </c>
      <c r="N5" s="748">
        <v>454.05152953528778</v>
      </c>
      <c r="O5" s="748">
        <v>1376.8786992453406</v>
      </c>
      <c r="P5" s="748">
        <v>1185.3379528517667</v>
      </c>
      <c r="Q5" s="748">
        <v>1306.5955534508382</v>
      </c>
      <c r="R5" s="748">
        <v>1263.5607534253584</v>
      </c>
      <c r="S5" s="748">
        <v>1272.9668407048102</v>
      </c>
      <c r="T5" s="748">
        <v>1691.8372619415084</v>
      </c>
      <c r="U5" s="748">
        <v>1663.9856833918377</v>
      </c>
      <c r="V5" s="748">
        <v>1604.099177974844</v>
      </c>
      <c r="W5" s="748">
        <v>1875.947276719181</v>
      </c>
      <c r="X5" s="748">
        <v>1741.1700025885145</v>
      </c>
      <c r="Z5" s="33" t="s">
        <v>573</v>
      </c>
      <c r="AA5" s="33" t="s">
        <v>173</v>
      </c>
      <c r="AB5" s="33" t="s">
        <v>175</v>
      </c>
      <c r="AC5" s="33">
        <v>1.5991861976386526</v>
      </c>
      <c r="AD5" s="33">
        <v>1.599495640475773</v>
      </c>
      <c r="AE5" s="33">
        <v>1.5996159342777394</v>
      </c>
      <c r="AF5" s="33">
        <v>1.5994384647588331</v>
      </c>
      <c r="AG5" s="33">
        <v>1.5994820236445826</v>
      </c>
      <c r="AH5" s="33">
        <v>1.8935999704386817</v>
      </c>
      <c r="AI5" s="33">
        <v>1.893879018903472</v>
      </c>
      <c r="AJ5" s="33">
        <v>1.8938755947220756</v>
      </c>
      <c r="AK5" s="33">
        <v>1.8937707746504757</v>
      </c>
      <c r="AL5" s="33">
        <v>1.8935999704386817</v>
      </c>
      <c r="AM5" s="33">
        <v>62.197074596059672</v>
      </c>
      <c r="AN5" s="33">
        <v>62.215138650287564</v>
      </c>
      <c r="AO5" s="33">
        <v>62.202185731779771</v>
      </c>
      <c r="AP5" s="33">
        <v>62.207668523257041</v>
      </c>
      <c r="AQ5" s="33">
        <v>62.206365750019685</v>
      </c>
      <c r="AR5" s="33">
        <v>63.970353018766382</v>
      </c>
      <c r="AS5" s="33">
        <v>63.985652194738144</v>
      </c>
      <c r="AT5" s="33">
        <v>63.973647537333804</v>
      </c>
      <c r="AU5" s="33">
        <v>63.979410796618936</v>
      </c>
      <c r="AV5" s="33">
        <v>63.977940800482273</v>
      </c>
    </row>
    <row r="6" spans="1:48" x14ac:dyDescent="0.25">
      <c r="A6" s="33" t="s">
        <v>573</v>
      </c>
      <c r="B6" s="33" t="s">
        <v>173</v>
      </c>
      <c r="C6" s="33" t="s">
        <v>174</v>
      </c>
      <c r="D6" s="33">
        <v>2.5</v>
      </c>
      <c r="E6" s="747">
        <v>2158.0185516872702</v>
      </c>
      <c r="F6" s="747">
        <v>2143.9848649367768</v>
      </c>
      <c r="G6" s="747">
        <v>2162.4313638272233</v>
      </c>
      <c r="H6" s="747">
        <v>2103.9084055864846</v>
      </c>
      <c r="I6" s="747">
        <v>2171.484016542815</v>
      </c>
      <c r="J6" s="747">
        <v>2599.2847863346419</v>
      </c>
      <c r="K6" s="747">
        <v>2535.470739545287</v>
      </c>
      <c r="L6" s="747">
        <v>2570.4715108098494</v>
      </c>
      <c r="M6" s="747">
        <v>2466.9005741348774</v>
      </c>
      <c r="N6" s="747">
        <v>2565.3057170260981</v>
      </c>
      <c r="O6" s="747">
        <v>7359.6655293267359</v>
      </c>
      <c r="P6" s="747">
        <v>6959.8113019672792</v>
      </c>
      <c r="Q6" s="747">
        <v>8172.7663481011596</v>
      </c>
      <c r="R6" s="747">
        <v>6290.4109272196147</v>
      </c>
      <c r="S6" s="747">
        <v>7266.5344644344132</v>
      </c>
      <c r="T6" s="747">
        <v>9036.0676450624705</v>
      </c>
      <c r="U6" s="747">
        <v>9257.3398913643832</v>
      </c>
      <c r="V6" s="747">
        <v>9464.2237994087718</v>
      </c>
      <c r="W6" s="747">
        <v>8507.1030061596539</v>
      </c>
      <c r="X6" s="747">
        <v>9418.8602921084184</v>
      </c>
      <c r="Z6" s="33" t="s">
        <v>573</v>
      </c>
      <c r="AA6" s="33" t="s">
        <v>173</v>
      </c>
      <c r="AB6" s="33" t="s">
        <v>176</v>
      </c>
      <c r="AC6" s="33">
        <v>6.7060620893341208E-2</v>
      </c>
      <c r="AD6" s="33">
        <v>6.719101969902587E-2</v>
      </c>
      <c r="AE6" s="33">
        <v>6.762998350030909E-2</v>
      </c>
      <c r="AF6" s="33">
        <v>6.7340006151416471E-2</v>
      </c>
      <c r="AG6" s="33">
        <v>6.7381205742655201E-2</v>
      </c>
      <c r="AH6" s="33">
        <v>6.1627818949874777E-2</v>
      </c>
      <c r="AI6" s="33">
        <v>6.1631939180339358E-2</v>
      </c>
      <c r="AJ6" s="33">
        <v>6.1729252107844308E-2</v>
      </c>
      <c r="AK6" s="33">
        <v>6.1682670332274203E-2</v>
      </c>
      <c r="AL6" s="33">
        <v>6.1627818949874777E-2</v>
      </c>
      <c r="AM6" s="33">
        <v>4.5592864013173626</v>
      </c>
      <c r="AN6" s="33">
        <v>4.5593586018012475</v>
      </c>
      <c r="AO6" s="33">
        <v>4.559229770677562</v>
      </c>
      <c r="AP6" s="33">
        <v>4.5592122281095966</v>
      </c>
      <c r="AQ6" s="33">
        <v>4.5592484664584054</v>
      </c>
      <c r="AR6" s="33">
        <v>4.3248088095119606</v>
      </c>
      <c r="AS6" s="33">
        <v>4.3249207331801092</v>
      </c>
      <c r="AT6" s="33">
        <v>4.3247583380553687</v>
      </c>
      <c r="AU6" s="33">
        <v>4.3247316644421971</v>
      </c>
      <c r="AV6" s="33">
        <v>4.3247781712366908</v>
      </c>
    </row>
    <row r="7" spans="1:48" x14ac:dyDescent="0.25">
      <c r="A7" s="33" t="s">
        <v>573</v>
      </c>
      <c r="B7" s="33" t="s">
        <v>173</v>
      </c>
      <c r="C7" s="33" t="s">
        <v>174</v>
      </c>
      <c r="D7" s="33">
        <v>5</v>
      </c>
      <c r="E7" s="747">
        <v>1189.8303607530943</v>
      </c>
      <c r="F7" s="747">
        <v>1211.2306876905177</v>
      </c>
      <c r="G7" s="747">
        <v>1202.265819886886</v>
      </c>
      <c r="H7" s="747">
        <v>1188.609399118081</v>
      </c>
      <c r="I7" s="747">
        <v>1218.3593843445778</v>
      </c>
      <c r="J7" s="747">
        <v>1433.123896273509</v>
      </c>
      <c r="K7" s="747">
        <v>1432.3981562104841</v>
      </c>
      <c r="L7" s="747">
        <v>1429.1274581636183</v>
      </c>
      <c r="M7" s="747">
        <v>1393.6829195228831</v>
      </c>
      <c r="N7" s="747">
        <v>1439.3218049228581</v>
      </c>
      <c r="O7" s="747">
        <v>3932.1141258754405</v>
      </c>
      <c r="P7" s="747">
        <v>3522.7347729297417</v>
      </c>
      <c r="Q7" s="747">
        <v>4249.7867936158927</v>
      </c>
      <c r="R7" s="747">
        <v>3183.919541430113</v>
      </c>
      <c r="S7" s="747">
        <v>3730.6202949940366</v>
      </c>
      <c r="T7" s="747">
        <v>4692.9616266915782</v>
      </c>
      <c r="U7" s="747">
        <v>4671.8845599947545</v>
      </c>
      <c r="V7" s="747">
        <v>4814.8865995753031</v>
      </c>
      <c r="W7" s="747">
        <v>4293.2664706634205</v>
      </c>
      <c r="X7" s="747">
        <v>4776.0580410920875</v>
      </c>
      <c r="Z7" s="33" t="s">
        <v>573</v>
      </c>
      <c r="AA7" s="33" t="s">
        <v>177</v>
      </c>
      <c r="AB7" s="33" t="s">
        <v>175</v>
      </c>
      <c r="AC7" s="33">
        <v>3.1267974107872751</v>
      </c>
      <c r="AD7" s="33">
        <v>3.1362393525647865</v>
      </c>
      <c r="AE7" s="33">
        <v>3.0672115229493175</v>
      </c>
      <c r="AF7" s="33">
        <v>3.0983013503557966</v>
      </c>
      <c r="AG7" s="33">
        <v>3.0974722428626738</v>
      </c>
      <c r="AH7" s="33">
        <v>3.6621964217108984</v>
      </c>
      <c r="AI7" s="33">
        <v>3.6842040686522428</v>
      </c>
      <c r="AJ7" s="33">
        <v>3.633255142148021</v>
      </c>
      <c r="AK7" s="33">
        <v>3.6458781591044191</v>
      </c>
      <c r="AL7" s="33">
        <v>3.6621964217108984</v>
      </c>
      <c r="AM7" s="33">
        <v>59.53905975325727</v>
      </c>
      <c r="AN7" s="33">
        <v>59.539717173538641</v>
      </c>
      <c r="AO7" s="33">
        <v>59.538476690399087</v>
      </c>
      <c r="AP7" s="33">
        <v>59.538259967460995</v>
      </c>
      <c r="AQ7" s="33">
        <v>59.538638767565267</v>
      </c>
      <c r="AR7" s="33">
        <v>61.690816416555684</v>
      </c>
      <c r="AS7" s="33">
        <v>61.691404037924961</v>
      </c>
      <c r="AT7" s="33">
        <v>61.690910002072414</v>
      </c>
      <c r="AU7" s="33">
        <v>61.690551609730839</v>
      </c>
      <c r="AV7" s="33">
        <v>61.690827855331229</v>
      </c>
    </row>
    <row r="8" spans="1:48" x14ac:dyDescent="0.25">
      <c r="A8" s="33" t="s">
        <v>573</v>
      </c>
      <c r="B8" s="33" t="s">
        <v>173</v>
      </c>
      <c r="C8" s="33" t="s">
        <v>174</v>
      </c>
      <c r="D8" s="33">
        <v>10</v>
      </c>
      <c r="E8" s="747">
        <v>702.6371718581097</v>
      </c>
      <c r="F8" s="747">
        <v>744.85266628026261</v>
      </c>
      <c r="G8" s="747">
        <v>722.37593318640518</v>
      </c>
      <c r="H8" s="747">
        <v>730.95989141157452</v>
      </c>
      <c r="I8" s="747">
        <v>741.60081549419283</v>
      </c>
      <c r="J8" s="747">
        <v>846.31066294403672</v>
      </c>
      <c r="K8" s="747">
        <v>880.86076143153502</v>
      </c>
      <c r="L8" s="747">
        <v>858.68471361049626</v>
      </c>
      <c r="M8" s="747">
        <v>857.07408697296398</v>
      </c>
      <c r="N8" s="747">
        <v>876.0980035981579</v>
      </c>
      <c r="O8" s="747">
        <v>2410.7150239799794</v>
      </c>
      <c r="P8" s="747">
        <v>2029.0395970172181</v>
      </c>
      <c r="Q8" s="747">
        <v>2666.7215091254084</v>
      </c>
      <c r="R8" s="747">
        <v>1833.9109710374225</v>
      </c>
      <c r="S8" s="747">
        <v>2228.34329106421</v>
      </c>
      <c r="T8" s="747">
        <v>2811.3193502695167</v>
      </c>
      <c r="U8" s="747">
        <v>2904.120870188834</v>
      </c>
      <c r="V8" s="747">
        <v>2943.0126252231671</v>
      </c>
      <c r="W8" s="747">
        <v>2668.810750605372</v>
      </c>
      <c r="X8" s="747">
        <v>2944.9639132978868</v>
      </c>
      <c r="Z8" s="33" t="s">
        <v>573</v>
      </c>
      <c r="AA8" s="33" t="s">
        <v>177</v>
      </c>
      <c r="AB8" s="33" t="s">
        <v>178</v>
      </c>
      <c r="AC8" s="33">
        <v>3.4168423849346783</v>
      </c>
      <c r="AD8" s="33">
        <v>3.4176211397985981</v>
      </c>
      <c r="AE8" s="33">
        <v>3.4100326511626382</v>
      </c>
      <c r="AF8" s="33">
        <v>3.4132682757366188</v>
      </c>
      <c r="AG8" s="33">
        <v>3.4133004650001109</v>
      </c>
      <c r="AH8" s="33">
        <v>3.9512750382843365</v>
      </c>
      <c r="AI8" s="33">
        <v>3.9529510968621366</v>
      </c>
      <c r="AJ8" s="33">
        <v>3.9474055893030831</v>
      </c>
      <c r="AK8" s="33">
        <v>3.9486148720394225</v>
      </c>
      <c r="AL8" s="33">
        <v>3.9512750382843365</v>
      </c>
      <c r="AM8" s="33">
        <v>13.025423843045621</v>
      </c>
      <c r="AN8" s="33">
        <v>13.023242986940575</v>
      </c>
      <c r="AO8" s="33">
        <v>13.03038646801873</v>
      </c>
      <c r="AP8" s="33">
        <v>13.032517310858125</v>
      </c>
      <c r="AQ8" s="33">
        <v>13.029709554781086</v>
      </c>
      <c r="AR8" s="33">
        <v>10.426601268757409</v>
      </c>
      <c r="AS8" s="33">
        <v>10.422944033232378</v>
      </c>
      <c r="AT8" s="33">
        <v>10.430057362601634</v>
      </c>
      <c r="AU8" s="33">
        <v>10.434148290312098</v>
      </c>
      <c r="AV8" s="33">
        <v>10.430373024743488</v>
      </c>
    </row>
    <row r="9" spans="1:48" x14ac:dyDescent="0.25">
      <c r="A9" s="33" t="s">
        <v>573</v>
      </c>
      <c r="B9" s="33" t="s">
        <v>173</v>
      </c>
      <c r="C9" s="33" t="s">
        <v>174</v>
      </c>
      <c r="D9" s="33">
        <v>15</v>
      </c>
      <c r="E9" s="747">
        <v>554.43222495863768</v>
      </c>
      <c r="F9" s="747">
        <v>589.39333351589755</v>
      </c>
      <c r="G9" s="747">
        <v>570.72827272909694</v>
      </c>
      <c r="H9" s="747">
        <v>578.40934621646716</v>
      </c>
      <c r="I9" s="747">
        <v>586.42386537038317</v>
      </c>
      <c r="J9" s="747">
        <v>667.80113927282582</v>
      </c>
      <c r="K9" s="747">
        <v>697.01497228464893</v>
      </c>
      <c r="L9" s="747">
        <v>678.42188658759812</v>
      </c>
      <c r="M9" s="747">
        <v>678.20364445410632</v>
      </c>
      <c r="N9" s="747">
        <v>692.7780646666921</v>
      </c>
      <c r="O9" s="747">
        <v>1969.6273202661266</v>
      </c>
      <c r="P9" s="747">
        <v>1552.3949601342888</v>
      </c>
      <c r="Q9" s="747">
        <v>2197.2184609952783</v>
      </c>
      <c r="R9" s="747">
        <v>1403.1152534676157</v>
      </c>
      <c r="S9" s="747">
        <v>1763.7258644842796</v>
      </c>
      <c r="T9" s="747">
        <v>2426.9847589022329</v>
      </c>
      <c r="U9" s="747">
        <v>2546.3546981064874</v>
      </c>
      <c r="V9" s="747">
        <v>2564.4150975447978</v>
      </c>
      <c r="W9" s="747">
        <v>2340.070450811324</v>
      </c>
      <c r="X9" s="747">
        <v>2574.1756902600496</v>
      </c>
      <c r="Z9" s="33" t="s">
        <v>573</v>
      </c>
      <c r="AA9" s="33" t="s">
        <v>173</v>
      </c>
      <c r="AB9" s="33" t="s">
        <v>575</v>
      </c>
      <c r="AC9" s="33">
        <v>6.9972905740586178E-2</v>
      </c>
      <c r="AD9" s="33">
        <v>6.9972905740586205E-2</v>
      </c>
      <c r="AE9" s="33">
        <v>6.9972905740586219E-2</v>
      </c>
      <c r="AF9" s="33">
        <v>6.9972905740586219E-2</v>
      </c>
      <c r="AG9" s="33">
        <v>6.9972905740586164E-2</v>
      </c>
      <c r="AH9" s="33">
        <v>8.3088400000000021E-2</v>
      </c>
      <c r="AI9" s="33">
        <v>8.3088399999999993E-2</v>
      </c>
      <c r="AJ9" s="33">
        <v>8.3088400000000021E-2</v>
      </c>
      <c r="AK9" s="33">
        <v>8.3088400000000021E-2</v>
      </c>
      <c r="AL9" s="33">
        <v>8.3088400000000021E-2</v>
      </c>
      <c r="AM9" s="33">
        <v>7.1167782391304349E-2</v>
      </c>
      <c r="AN9" s="33">
        <v>7.1167782391304321E-2</v>
      </c>
      <c r="AO9" s="33">
        <v>7.1167782391304335E-2</v>
      </c>
      <c r="AP9" s="33">
        <v>7.1167782391304391E-2</v>
      </c>
      <c r="AQ9" s="33">
        <v>7.1167782391304349E-2</v>
      </c>
      <c r="AR9" s="33">
        <v>7.6596847381551092E-2</v>
      </c>
      <c r="AS9" s="33">
        <v>7.6596847381551078E-2</v>
      </c>
      <c r="AT9" s="33">
        <v>7.6596847381551092E-2</v>
      </c>
      <c r="AU9" s="33">
        <v>7.6596847381551064E-2</v>
      </c>
      <c r="AV9" s="33">
        <v>7.6596847381551092E-2</v>
      </c>
    </row>
    <row r="10" spans="1:48" x14ac:dyDescent="0.25">
      <c r="A10" s="33" t="s">
        <v>573</v>
      </c>
      <c r="B10" s="33" t="s">
        <v>173</v>
      </c>
      <c r="C10" s="33" t="s">
        <v>174</v>
      </c>
      <c r="D10" s="33">
        <v>20</v>
      </c>
      <c r="E10" s="747">
        <v>466.74022688618402</v>
      </c>
      <c r="F10" s="747">
        <v>508.67968575643351</v>
      </c>
      <c r="G10" s="747">
        <v>475.97790056493977</v>
      </c>
      <c r="H10" s="747">
        <v>499.20522886640362</v>
      </c>
      <c r="I10" s="747">
        <v>500.01681547696739</v>
      </c>
      <c r="J10" s="747">
        <v>562.17810081710866</v>
      </c>
      <c r="K10" s="747">
        <v>601.56322935356229</v>
      </c>
      <c r="L10" s="747">
        <v>565.79258590286372</v>
      </c>
      <c r="M10" s="747">
        <v>585.33425810349127</v>
      </c>
      <c r="N10" s="747">
        <v>590.7001781180079</v>
      </c>
      <c r="O10" s="747">
        <v>1750.1087796096117</v>
      </c>
      <c r="P10" s="747">
        <v>1469.9242758525843</v>
      </c>
      <c r="Q10" s="747">
        <v>1940.029878529489</v>
      </c>
      <c r="R10" s="747">
        <v>1328.5953872785901</v>
      </c>
      <c r="S10" s="747">
        <v>1617.1288497162793</v>
      </c>
      <c r="T10" s="747">
        <v>2197.9350714587317</v>
      </c>
      <c r="U10" s="747">
        <v>2273.386235654099</v>
      </c>
      <c r="V10" s="747">
        <v>2301.8818198719464</v>
      </c>
      <c r="W10" s="747">
        <v>2089.2344023429732</v>
      </c>
      <c r="X10" s="747">
        <v>2304.5594077278447</v>
      </c>
      <c r="Z10" s="33" t="s">
        <v>573</v>
      </c>
      <c r="AA10" s="33" t="s">
        <v>576</v>
      </c>
      <c r="AB10" s="33" t="s">
        <v>577</v>
      </c>
      <c r="AC10" s="33">
        <v>25.391888508974777</v>
      </c>
      <c r="AD10" s="33">
        <v>25.391888508974795</v>
      </c>
      <c r="AE10" s="33">
        <v>25.391888508974784</v>
      </c>
      <c r="AF10" s="33">
        <v>25.391888508974773</v>
      </c>
      <c r="AG10" s="33">
        <v>25.39188850897478</v>
      </c>
      <c r="AH10" s="33">
        <v>30.064600000000006</v>
      </c>
      <c r="AI10" s="33">
        <v>30.064600000000009</v>
      </c>
      <c r="AJ10" s="33">
        <v>30.064600000000002</v>
      </c>
      <c r="AK10" s="33">
        <v>30.064599999999995</v>
      </c>
      <c r="AL10" s="33">
        <v>30.064600000000006</v>
      </c>
      <c r="AM10" s="33">
        <v>22.887901159420302</v>
      </c>
      <c r="AN10" s="33">
        <v>22.887901159420274</v>
      </c>
      <c r="AO10" s="33">
        <v>22.887901159420288</v>
      </c>
      <c r="AP10" s="33">
        <v>22.887901159420284</v>
      </c>
      <c r="AQ10" s="33">
        <v>22.887901159420284</v>
      </c>
      <c r="AR10" s="33">
        <v>22.994698616033411</v>
      </c>
      <c r="AS10" s="33">
        <v>22.994698616033425</v>
      </c>
      <c r="AT10" s="33">
        <v>22.994698616033421</v>
      </c>
      <c r="AU10" s="33">
        <v>22.994698616033428</v>
      </c>
      <c r="AV10" s="33">
        <v>22.994698616033428</v>
      </c>
    </row>
    <row r="11" spans="1:48" x14ac:dyDescent="0.25">
      <c r="A11" s="33" t="s">
        <v>573</v>
      </c>
      <c r="B11" s="33" t="s">
        <v>173</v>
      </c>
      <c r="C11" s="33" t="s">
        <v>174</v>
      </c>
      <c r="D11" s="33">
        <v>25</v>
      </c>
      <c r="E11" s="747">
        <v>419.08116280035892</v>
      </c>
      <c r="F11" s="747">
        <v>454.24265168704409</v>
      </c>
      <c r="G11" s="747">
        <v>426.03577067072712</v>
      </c>
      <c r="H11" s="747">
        <v>445.78578469107435</v>
      </c>
      <c r="I11" s="747">
        <v>447.0052403520491</v>
      </c>
      <c r="J11" s="747">
        <v>504.77383053760781</v>
      </c>
      <c r="K11" s="747">
        <v>537.18613915678202</v>
      </c>
      <c r="L11" s="747">
        <v>506.42662209486946</v>
      </c>
      <c r="M11" s="747">
        <v>522.69823404646934</v>
      </c>
      <c r="N11" s="747">
        <v>528.07439054577401</v>
      </c>
      <c r="O11" s="747">
        <v>1606.308842127283</v>
      </c>
      <c r="P11" s="747">
        <v>1407.1420416206415</v>
      </c>
      <c r="Q11" s="747">
        <v>1754.5815787963795</v>
      </c>
      <c r="R11" s="747">
        <v>1271.8579483175552</v>
      </c>
      <c r="S11" s="747">
        <v>1510.7219889512185</v>
      </c>
      <c r="T11" s="747">
        <v>2063.5311831097333</v>
      </c>
      <c r="U11" s="747">
        <v>2091.2905854487672</v>
      </c>
      <c r="V11" s="747">
        <v>2134.0360926597755</v>
      </c>
      <c r="W11" s="747">
        <v>1921.9019450271494</v>
      </c>
      <c r="X11" s="747">
        <v>2128.4308704593691</v>
      </c>
    </row>
    <row r="12" spans="1:48" x14ac:dyDescent="0.25">
      <c r="A12" s="33" t="s">
        <v>573</v>
      </c>
      <c r="B12" s="33" t="s">
        <v>173</v>
      </c>
      <c r="C12" s="33" t="s">
        <v>174</v>
      </c>
      <c r="D12" s="33">
        <v>30</v>
      </c>
      <c r="E12" s="747">
        <v>396.38467931978698</v>
      </c>
      <c r="F12" s="747">
        <v>405.54283351875779</v>
      </c>
      <c r="G12" s="747">
        <v>397.08960758037</v>
      </c>
      <c r="H12" s="747">
        <v>397.99410403382927</v>
      </c>
      <c r="I12" s="747">
        <v>406.0905321751531</v>
      </c>
      <c r="J12" s="747">
        <v>477.43642689563239</v>
      </c>
      <c r="K12" s="747">
        <v>479.59386506649491</v>
      </c>
      <c r="L12" s="747">
        <v>472.01846060791678</v>
      </c>
      <c r="M12" s="747">
        <v>466.66094452417963</v>
      </c>
      <c r="N12" s="747">
        <v>479.73936528330455</v>
      </c>
      <c r="O12" s="747">
        <v>1581.3165244801955</v>
      </c>
      <c r="P12" s="747">
        <v>1396.077503592169</v>
      </c>
      <c r="Q12" s="747">
        <v>1708.8771415091692</v>
      </c>
      <c r="R12" s="747">
        <v>1261.8681567593219</v>
      </c>
      <c r="S12" s="747">
        <v>1488.0322869928571</v>
      </c>
      <c r="T12" s="747">
        <v>2042.1946467224473</v>
      </c>
      <c r="U12" s="747">
        <v>2031.2388493401938</v>
      </c>
      <c r="V12" s="747">
        <v>2087.814275190337</v>
      </c>
      <c r="W12" s="747">
        <v>1866.7251551591644</v>
      </c>
      <c r="X12" s="747">
        <v>2075.0199868887962</v>
      </c>
    </row>
    <row r="13" spans="1:48" ht="15" customHeight="1" x14ac:dyDescent="0.25">
      <c r="A13" s="33" t="s">
        <v>573</v>
      </c>
      <c r="B13" s="33" t="s">
        <v>173</v>
      </c>
      <c r="C13" s="33" t="s">
        <v>174</v>
      </c>
      <c r="D13" s="33">
        <v>35</v>
      </c>
      <c r="E13" s="747">
        <v>395.79895705323355</v>
      </c>
      <c r="F13" s="747">
        <v>384.62379010021778</v>
      </c>
      <c r="G13" s="747">
        <v>388.58846480253754</v>
      </c>
      <c r="H13" s="747">
        <v>376.01371761589701</v>
      </c>
      <c r="I13" s="747">
        <v>389.83933589138871</v>
      </c>
      <c r="J13" s="747">
        <v>476.73093760533897</v>
      </c>
      <c r="K13" s="747">
        <v>454.85506053741085</v>
      </c>
      <c r="L13" s="747">
        <v>461.91319406152792</v>
      </c>
      <c r="M13" s="747">
        <v>440.88823135371808</v>
      </c>
      <c r="N13" s="747">
        <v>460.54084186906033</v>
      </c>
      <c r="O13" s="747">
        <v>1402.896084052697</v>
      </c>
      <c r="P13" s="747">
        <v>1230.4459230395225</v>
      </c>
      <c r="Q13" s="747">
        <v>1465.6692666180029</v>
      </c>
      <c r="R13" s="747">
        <v>1112.1579453954691</v>
      </c>
      <c r="S13" s="747">
        <v>1299.9520341965761</v>
      </c>
      <c r="T13" s="747">
        <v>1815.7424007956142</v>
      </c>
      <c r="U13" s="747">
        <v>1713.2262655215025</v>
      </c>
      <c r="V13" s="747">
        <v>1797.9425004362531</v>
      </c>
      <c r="W13" s="747">
        <v>1574.4657554428879</v>
      </c>
      <c r="X13" s="747">
        <v>1769.0852043154507</v>
      </c>
    </row>
    <row r="14" spans="1:48" ht="15" customHeight="1" x14ac:dyDescent="0.25">
      <c r="A14" s="33" t="s">
        <v>573</v>
      </c>
      <c r="B14" s="33" t="s">
        <v>173</v>
      </c>
      <c r="C14" s="33" t="s">
        <v>174</v>
      </c>
      <c r="D14" s="33">
        <v>40</v>
      </c>
      <c r="E14" s="747">
        <v>393.87279262047826</v>
      </c>
      <c r="F14" s="747">
        <v>372.25293179981543</v>
      </c>
      <c r="G14" s="747">
        <v>382.21324426831194</v>
      </c>
      <c r="H14" s="747">
        <v>362.45833089614831</v>
      </c>
      <c r="I14" s="747">
        <v>379.43279543730057</v>
      </c>
      <c r="J14" s="747">
        <v>474.41091588813691</v>
      </c>
      <c r="K14" s="747">
        <v>440.22531675670746</v>
      </c>
      <c r="L14" s="747">
        <v>454.33500081457402</v>
      </c>
      <c r="M14" s="747">
        <v>424.99410250629484</v>
      </c>
      <c r="N14" s="747">
        <v>448.24696472423204</v>
      </c>
      <c r="O14" s="747">
        <v>1383.3106067355027</v>
      </c>
      <c r="P14" s="747">
        <v>1176.211322564905</v>
      </c>
      <c r="Q14" s="747">
        <v>1413.8737502718925</v>
      </c>
      <c r="R14" s="747">
        <v>1063.1407478537938</v>
      </c>
      <c r="S14" s="747">
        <v>1250.2631002632904</v>
      </c>
      <c r="T14" s="747">
        <v>1802.0313707249684</v>
      </c>
      <c r="U14" s="747">
        <v>1654.0728172604595</v>
      </c>
      <c r="V14" s="747">
        <v>1755.3006411392248</v>
      </c>
      <c r="W14" s="747">
        <v>1520.1091406232431</v>
      </c>
      <c r="X14" s="747">
        <v>1717.950951741889</v>
      </c>
    </row>
    <row r="15" spans="1:48" ht="15" customHeight="1" x14ac:dyDescent="0.25">
      <c r="A15" s="33" t="s">
        <v>573</v>
      </c>
      <c r="B15" s="33" t="s">
        <v>173</v>
      </c>
      <c r="C15" s="33" t="s">
        <v>174</v>
      </c>
      <c r="D15" s="33">
        <v>45</v>
      </c>
      <c r="E15" s="747">
        <v>390.01838688689475</v>
      </c>
      <c r="F15" s="747">
        <v>362.63121284467377</v>
      </c>
      <c r="G15" s="747">
        <v>376.32777439725874</v>
      </c>
      <c r="H15" s="747">
        <v>352.43923426060331</v>
      </c>
      <c r="I15" s="747">
        <v>371.09189087536993</v>
      </c>
      <c r="J15" s="747">
        <v>469.76837091287172</v>
      </c>
      <c r="K15" s="747">
        <v>428.84669777769267</v>
      </c>
      <c r="L15" s="747">
        <v>447.33897176859466</v>
      </c>
      <c r="M15" s="747">
        <v>413.24638802551692</v>
      </c>
      <c r="N15" s="747">
        <v>438.39334848995026</v>
      </c>
      <c r="O15" s="747">
        <v>1362.6335322196044</v>
      </c>
      <c r="P15" s="747">
        <v>1133.9718176411475</v>
      </c>
      <c r="Q15" s="747">
        <v>1370.6265794551405</v>
      </c>
      <c r="R15" s="747">
        <v>1024.964918363841</v>
      </c>
      <c r="S15" s="747">
        <v>1210.2021093587064</v>
      </c>
      <c r="T15" s="747">
        <v>1786.9993540482972</v>
      </c>
      <c r="U15" s="747">
        <v>1607.38654893287</v>
      </c>
      <c r="V15" s="747">
        <v>1719.9763396288943</v>
      </c>
      <c r="W15" s="747">
        <v>1477.2093151625565</v>
      </c>
      <c r="X15" s="747">
        <v>1676.7394779596673</v>
      </c>
    </row>
    <row r="16" spans="1:48" ht="15" customHeight="1" x14ac:dyDescent="0.25">
      <c r="A16" s="33" t="s">
        <v>573</v>
      </c>
      <c r="B16" s="33" t="s">
        <v>173</v>
      </c>
      <c r="C16" s="33" t="s">
        <v>174</v>
      </c>
      <c r="D16" s="33">
        <v>50</v>
      </c>
      <c r="E16" s="747">
        <v>380.3786696069925</v>
      </c>
      <c r="F16" s="747">
        <v>355.5787363266104</v>
      </c>
      <c r="G16" s="747">
        <v>366.89211353313067</v>
      </c>
      <c r="H16" s="747">
        <v>345.3123650226787</v>
      </c>
      <c r="I16" s="747">
        <v>362.92884270118378</v>
      </c>
      <c r="J16" s="747">
        <v>458.15754835964282</v>
      </c>
      <c r="K16" s="747">
        <v>420.50645800020385</v>
      </c>
      <c r="L16" s="747">
        <v>436.12284817613153</v>
      </c>
      <c r="M16" s="747">
        <v>404.88990360436196</v>
      </c>
      <c r="N16" s="747">
        <v>428.74984478922374</v>
      </c>
      <c r="O16" s="747">
        <v>1335.432109365044</v>
      </c>
      <c r="P16" s="747">
        <v>1183.5576065247351</v>
      </c>
      <c r="Q16" s="747">
        <v>1326.2144793530233</v>
      </c>
      <c r="R16" s="747">
        <v>1069.7893428780274</v>
      </c>
      <c r="S16" s="747">
        <v>1223.6923408452647</v>
      </c>
      <c r="T16" s="747">
        <v>1732.2356681461799</v>
      </c>
      <c r="U16" s="747">
        <v>1525.1985219892213</v>
      </c>
      <c r="V16" s="747">
        <v>1646.5550500564882</v>
      </c>
      <c r="W16" s="747">
        <v>1401.6780736857993</v>
      </c>
      <c r="X16" s="747">
        <v>1598.4374961699973</v>
      </c>
    </row>
    <row r="17" spans="1:24" ht="15" customHeight="1" x14ac:dyDescent="0.25">
      <c r="A17" s="33" t="s">
        <v>573</v>
      </c>
      <c r="B17" s="33" t="s">
        <v>173</v>
      </c>
      <c r="C17" s="33" t="s">
        <v>174</v>
      </c>
      <c r="D17" s="33">
        <v>55</v>
      </c>
      <c r="E17" s="747">
        <v>370.76436298025254</v>
      </c>
      <c r="F17" s="747">
        <v>352.38123385007702</v>
      </c>
      <c r="G17" s="747">
        <v>357.92141656746247</v>
      </c>
      <c r="H17" s="747">
        <v>341.80690653016433</v>
      </c>
      <c r="I17" s="747">
        <v>357.22128785282973</v>
      </c>
      <c r="J17" s="747">
        <v>446.57733236636381</v>
      </c>
      <c r="K17" s="747">
        <v>416.72510016439969</v>
      </c>
      <c r="L17" s="747">
        <v>425.4594248795201</v>
      </c>
      <c r="M17" s="747">
        <v>400.77964027501366</v>
      </c>
      <c r="N17" s="747">
        <v>422.00716422092125</v>
      </c>
      <c r="O17" s="747">
        <v>1308.9612492511274</v>
      </c>
      <c r="P17" s="747">
        <v>1224.1270476219229</v>
      </c>
      <c r="Q17" s="747">
        <v>1288.090584807692</v>
      </c>
      <c r="R17" s="747">
        <v>1106.4657846348191</v>
      </c>
      <c r="S17" s="747">
        <v>1233.8163473318275</v>
      </c>
      <c r="T17" s="747">
        <v>1664.998671722117</v>
      </c>
      <c r="U17" s="747">
        <v>1438.1985389721763</v>
      </c>
      <c r="V17" s="747">
        <v>1565.1575070918004</v>
      </c>
      <c r="W17" s="747">
        <v>1321.7252340109485</v>
      </c>
      <c r="X17" s="747">
        <v>1513.6697448006464</v>
      </c>
    </row>
    <row r="18" spans="1:24" ht="15" customHeight="1" x14ac:dyDescent="0.25">
      <c r="A18" s="33" t="s">
        <v>573</v>
      </c>
      <c r="B18" s="33" t="s">
        <v>173</v>
      </c>
      <c r="C18" s="33" t="s">
        <v>174</v>
      </c>
      <c r="D18" s="33">
        <v>60</v>
      </c>
      <c r="E18" s="747">
        <v>362.86868076216956</v>
      </c>
      <c r="F18" s="747">
        <v>349.71759418624811</v>
      </c>
      <c r="G18" s="747">
        <v>352.22960681847655</v>
      </c>
      <c r="H18" s="747">
        <v>341.65745032857336</v>
      </c>
      <c r="I18" s="747">
        <v>354.26512616261232</v>
      </c>
      <c r="J18" s="747">
        <v>437.06716080127245</v>
      </c>
      <c r="K18" s="747">
        <v>413.57508705620103</v>
      </c>
      <c r="L18" s="747">
        <v>418.69359866674097</v>
      </c>
      <c r="M18" s="747">
        <v>400.60439805033616</v>
      </c>
      <c r="N18" s="747">
        <v>418.51487119615302</v>
      </c>
      <c r="O18" s="747">
        <v>1286.9966952273082</v>
      </c>
      <c r="P18" s="747">
        <v>1199.9519403964505</v>
      </c>
      <c r="Q18" s="747">
        <v>1260.6827368449667</v>
      </c>
      <c r="R18" s="747">
        <v>1084.6161354123369</v>
      </c>
      <c r="S18" s="747">
        <v>1209.1903599946534</v>
      </c>
      <c r="T18" s="747">
        <v>1626.2344324862745</v>
      </c>
      <c r="U18" s="747">
        <v>1396.4482944106037</v>
      </c>
      <c r="V18" s="747">
        <v>1523.5207217862755</v>
      </c>
      <c r="W18" s="747">
        <v>1283.3584297334528</v>
      </c>
      <c r="X18" s="747">
        <v>1471.6732125616065</v>
      </c>
    </row>
    <row r="19" spans="1:24" ht="15" customHeight="1" x14ac:dyDescent="0.25">
      <c r="A19" s="33" t="s">
        <v>573</v>
      </c>
      <c r="B19" s="33" t="s">
        <v>173</v>
      </c>
      <c r="C19" s="33" t="s">
        <v>174</v>
      </c>
      <c r="D19" s="33">
        <v>65</v>
      </c>
      <c r="E19" s="747">
        <v>363.99324824602525</v>
      </c>
      <c r="F19" s="747">
        <v>351.76797254675171</v>
      </c>
      <c r="G19" s="747">
        <v>356.83353263060707</v>
      </c>
      <c r="H19" s="747">
        <v>345.22904015663761</v>
      </c>
      <c r="I19" s="747">
        <v>357.74553023754783</v>
      </c>
      <c r="J19" s="747">
        <v>438.4216770308513</v>
      </c>
      <c r="K19" s="747">
        <v>415.99985899516116</v>
      </c>
      <c r="L19" s="747">
        <v>424.16626260231135</v>
      </c>
      <c r="M19" s="747">
        <v>404.79220250704674</v>
      </c>
      <c r="N19" s="747">
        <v>422.62648353268196</v>
      </c>
      <c r="O19" s="747">
        <v>1352.7167019571102</v>
      </c>
      <c r="P19" s="747">
        <v>1297.1678599626637</v>
      </c>
      <c r="Q19" s="747">
        <v>1346.4965290889634</v>
      </c>
      <c r="R19" s="747">
        <v>1172.4929847270669</v>
      </c>
      <c r="S19" s="747">
        <v>1298.8014935393696</v>
      </c>
      <c r="T19" s="747">
        <v>1675.5076054027165</v>
      </c>
      <c r="U19" s="747">
        <v>1470.2544653872915</v>
      </c>
      <c r="V19" s="747">
        <v>1589.5000263037475</v>
      </c>
      <c r="W19" s="747">
        <v>1351.1922300882386</v>
      </c>
      <c r="X19" s="747">
        <v>1542.0140437372409</v>
      </c>
    </row>
    <row r="20" spans="1:24" ht="15" customHeight="1" x14ac:dyDescent="0.25">
      <c r="A20" s="33" t="s">
        <v>573</v>
      </c>
      <c r="B20" s="33" t="s">
        <v>173</v>
      </c>
      <c r="C20" s="33" t="s">
        <v>174</v>
      </c>
      <c r="D20" s="33">
        <v>70</v>
      </c>
      <c r="E20" s="747">
        <v>371.81252312608962</v>
      </c>
      <c r="F20" s="747">
        <v>364.44332665419762</v>
      </c>
      <c r="G20" s="747">
        <v>369.30066649257054</v>
      </c>
      <c r="H20" s="747">
        <v>357.66973149049483</v>
      </c>
      <c r="I20" s="747">
        <v>370.07878600500715</v>
      </c>
      <c r="J20" s="747">
        <v>447.83981767659736</v>
      </c>
      <c r="K20" s="747">
        <v>430.98969869897451</v>
      </c>
      <c r="L20" s="747">
        <v>438.98588321533828</v>
      </c>
      <c r="M20" s="747">
        <v>419.37931500331149</v>
      </c>
      <c r="N20" s="747">
        <v>437.19650628614426</v>
      </c>
      <c r="O20" s="747">
        <v>1414.9695853711698</v>
      </c>
      <c r="P20" s="747">
        <v>1390.3735374666496</v>
      </c>
      <c r="Q20" s="747">
        <v>1428.4488363249604</v>
      </c>
      <c r="R20" s="747">
        <v>1256.7434625145252</v>
      </c>
      <c r="S20" s="747">
        <v>1384.5511283798808</v>
      </c>
      <c r="T20" s="747">
        <v>1717.8751402421972</v>
      </c>
      <c r="U20" s="747">
        <v>1535.9289656099475</v>
      </c>
      <c r="V20" s="747">
        <v>1647.6205158755656</v>
      </c>
      <c r="W20" s="747">
        <v>1411.5526427763095</v>
      </c>
      <c r="X20" s="747">
        <v>1604.3042286776024</v>
      </c>
    </row>
    <row r="21" spans="1:24" ht="15" customHeight="1" x14ac:dyDescent="0.25">
      <c r="A21" s="33" t="s">
        <v>573</v>
      </c>
      <c r="B21" s="33" t="s">
        <v>173</v>
      </c>
      <c r="C21" s="33" t="s">
        <v>174</v>
      </c>
      <c r="D21" s="33">
        <v>75</v>
      </c>
      <c r="E21" s="747">
        <v>384.0679290762248</v>
      </c>
      <c r="F21" s="747">
        <v>384.90790186004284</v>
      </c>
      <c r="G21" s="747">
        <v>386.93912528809074</v>
      </c>
      <c r="H21" s="747">
        <v>377.75440073884721</v>
      </c>
      <c r="I21" s="747">
        <v>389.1900859922373</v>
      </c>
      <c r="J21" s="747">
        <v>462.60117837557516</v>
      </c>
      <c r="K21" s="747">
        <v>455.19105034106013</v>
      </c>
      <c r="L21" s="747">
        <v>459.95263230476769</v>
      </c>
      <c r="M21" s="747">
        <v>442.92923854965431</v>
      </c>
      <c r="N21" s="747">
        <v>459.77384360180008</v>
      </c>
      <c r="O21" s="747">
        <v>1412.8284794265201</v>
      </c>
      <c r="P21" s="747">
        <v>1394.8228726379234</v>
      </c>
      <c r="Q21" s="747">
        <v>1430.2022591436428</v>
      </c>
      <c r="R21" s="747">
        <v>1260.7671272293551</v>
      </c>
      <c r="S21" s="747">
        <v>1387.5390264190896</v>
      </c>
      <c r="T21" s="747">
        <v>1676.1308621762989</v>
      </c>
      <c r="U21" s="747">
        <v>1493.9821115109071</v>
      </c>
      <c r="V21" s="747">
        <v>1604.6767890193823</v>
      </c>
      <c r="W21" s="747">
        <v>1373.0033095480778</v>
      </c>
      <c r="X21" s="747">
        <v>1561.5408029782345</v>
      </c>
    </row>
    <row r="22" spans="1:24" ht="15" customHeight="1" x14ac:dyDescent="0.25">
      <c r="A22" s="33" t="s">
        <v>573</v>
      </c>
      <c r="B22" s="33" t="s">
        <v>173</v>
      </c>
      <c r="C22" s="111" t="s">
        <v>175</v>
      </c>
      <c r="D22" s="744" t="s">
        <v>574</v>
      </c>
      <c r="E22" s="745">
        <v>0.56872908182672233</v>
      </c>
      <c r="F22" s="745">
        <v>0.47257182519899482</v>
      </c>
      <c r="G22" s="745">
        <v>0.51035329153297571</v>
      </c>
      <c r="H22" s="745">
        <v>0.46332434480617785</v>
      </c>
      <c r="I22" s="745">
        <v>0.48807710252131187</v>
      </c>
      <c r="J22" s="745">
        <v>0.82171089480470916</v>
      </c>
      <c r="K22" s="745">
        <v>0.65510177668975988</v>
      </c>
      <c r="L22" s="745">
        <v>0.72280876601643507</v>
      </c>
      <c r="M22" s="745">
        <v>0.63270048517339972</v>
      </c>
      <c r="N22" s="745">
        <v>0.67985005321578229</v>
      </c>
      <c r="O22" s="745">
        <v>8.6757446639353457</v>
      </c>
      <c r="P22" s="745">
        <v>7.48268996175785</v>
      </c>
      <c r="Q22" s="745">
        <v>8.0819633187570918</v>
      </c>
      <c r="R22" s="745">
        <v>7.9930075130847058</v>
      </c>
      <c r="S22" s="745">
        <v>7.9905803192458862</v>
      </c>
      <c r="T22" s="745">
        <v>6.6823916530758973</v>
      </c>
      <c r="U22" s="745">
        <v>6.718460144998609</v>
      </c>
      <c r="V22" s="745">
        <v>6.3825320465521038</v>
      </c>
      <c r="W22" s="745">
        <v>7.5165260484191476</v>
      </c>
      <c r="X22" s="745">
        <v>6.9633977785921539</v>
      </c>
    </row>
    <row r="23" spans="1:24" ht="15" customHeight="1" x14ac:dyDescent="0.25">
      <c r="A23" s="33" t="s">
        <v>573</v>
      </c>
      <c r="B23" s="33" t="s">
        <v>173</v>
      </c>
      <c r="C23" s="111" t="s">
        <v>175</v>
      </c>
      <c r="D23" s="33">
        <v>2.5</v>
      </c>
      <c r="E23" s="741">
        <v>1.4223576360422199</v>
      </c>
      <c r="F23" s="741">
        <v>1.297283727756811</v>
      </c>
      <c r="G23" s="741">
        <v>1.37862279011346</v>
      </c>
      <c r="H23" s="741">
        <v>1.2219576153393992</v>
      </c>
      <c r="I23" s="741">
        <v>1.3548489087628308</v>
      </c>
      <c r="J23" s="741">
        <v>2.0549941029860701</v>
      </c>
      <c r="K23" s="741">
        <v>1.7983574279089927</v>
      </c>
      <c r="L23" s="741">
        <v>1.9525728568980452</v>
      </c>
      <c r="M23" s="741">
        <v>1.668808270651652</v>
      </c>
      <c r="N23" s="741">
        <v>1.8871787718241233</v>
      </c>
      <c r="O23" s="741">
        <v>51.301491082125324</v>
      </c>
      <c r="P23" s="741">
        <v>48.572999204726891</v>
      </c>
      <c r="Q23" s="741">
        <v>56.086580065271448</v>
      </c>
      <c r="R23" s="741">
        <v>44.231825875050816</v>
      </c>
      <c r="S23" s="741">
        <v>50.606345198364885</v>
      </c>
      <c r="T23" s="741">
        <v>39.970917164188187</v>
      </c>
      <c r="U23" s="741">
        <v>40.575811704643947</v>
      </c>
      <c r="V23" s="741">
        <v>41.121171817498045</v>
      </c>
      <c r="W23" s="741">
        <v>37.783491213321113</v>
      </c>
      <c r="X23" s="741">
        <v>41.14544111071951</v>
      </c>
    </row>
    <row r="24" spans="1:24" ht="15" customHeight="1" x14ac:dyDescent="0.25">
      <c r="A24" s="33" t="s">
        <v>573</v>
      </c>
      <c r="B24" s="33" t="s">
        <v>173</v>
      </c>
      <c r="C24" s="111" t="s">
        <v>175</v>
      </c>
      <c r="D24" s="33">
        <v>5</v>
      </c>
      <c r="E24" s="741">
        <v>0.93238378344633599</v>
      </c>
      <c r="F24" s="741">
        <v>0.89873043603876324</v>
      </c>
      <c r="G24" s="741">
        <v>0.93897281630225859</v>
      </c>
      <c r="H24" s="741">
        <v>0.84666487892399289</v>
      </c>
      <c r="I24" s="741">
        <v>0.92957951769545888</v>
      </c>
      <c r="J24" s="741">
        <v>1.3470895983892954</v>
      </c>
      <c r="K24" s="741">
        <v>1.2458635846245487</v>
      </c>
      <c r="L24" s="741">
        <v>1.3298872234122978</v>
      </c>
      <c r="M24" s="741">
        <v>1.1562768910165506</v>
      </c>
      <c r="N24" s="741">
        <v>1.2948179838881708</v>
      </c>
      <c r="O24" s="741">
        <v>27.104913573462294</v>
      </c>
      <c r="P24" s="741">
        <v>24.521564439378011</v>
      </c>
      <c r="Q24" s="741">
        <v>28.955056325387257</v>
      </c>
      <c r="R24" s="741">
        <v>22.329962046379048</v>
      </c>
      <c r="S24" s="741">
        <v>25.847085713182345</v>
      </c>
      <c r="T24" s="741">
        <v>20.713542311294852</v>
      </c>
      <c r="U24" s="741">
        <v>20.449194979481373</v>
      </c>
      <c r="V24" s="741">
        <v>20.895496760752707</v>
      </c>
      <c r="W24" s="741">
        <v>19.041942479270308</v>
      </c>
      <c r="X24" s="741">
        <v>20.835410071334177</v>
      </c>
    </row>
    <row r="25" spans="1:24" ht="15" customHeight="1" x14ac:dyDescent="0.25">
      <c r="A25" s="33" t="s">
        <v>573</v>
      </c>
      <c r="B25" s="33" t="s">
        <v>173</v>
      </c>
      <c r="C25" s="111" t="s">
        <v>175</v>
      </c>
      <c r="D25" s="33">
        <v>10</v>
      </c>
      <c r="E25" s="741">
        <v>0.66599619590621695</v>
      </c>
      <c r="F25" s="741">
        <v>0.69265501967147336</v>
      </c>
      <c r="G25" s="741">
        <v>0.69329189692155779</v>
      </c>
      <c r="H25" s="741">
        <v>0.65271351884196271</v>
      </c>
      <c r="I25" s="741">
        <v>0.70313130930990786</v>
      </c>
      <c r="J25" s="741">
        <v>0.9622180951667535</v>
      </c>
      <c r="K25" s="741">
        <v>0.96019187857889465</v>
      </c>
      <c r="L25" s="741">
        <v>0.98192409812475379</v>
      </c>
      <c r="M25" s="741">
        <v>0.89140057309358445</v>
      </c>
      <c r="N25" s="741">
        <v>0.97939664869807452</v>
      </c>
      <c r="O25" s="741">
        <v>15.893868519791187</v>
      </c>
      <c r="P25" s="741">
        <v>13.729887250000079</v>
      </c>
      <c r="Q25" s="741">
        <v>17.33738957537804</v>
      </c>
      <c r="R25" s="741">
        <v>12.502787556692462</v>
      </c>
      <c r="S25" s="741">
        <v>14.876047320088354</v>
      </c>
      <c r="T25" s="741">
        <v>12.075917347884923</v>
      </c>
      <c r="U25" s="741">
        <v>12.355103311844188</v>
      </c>
      <c r="V25" s="741">
        <v>12.423562565075137</v>
      </c>
      <c r="W25" s="741">
        <v>11.504875950032655</v>
      </c>
      <c r="X25" s="741">
        <v>12.490834313800415</v>
      </c>
    </row>
    <row r="26" spans="1:24" ht="15" customHeight="1" x14ac:dyDescent="0.25">
      <c r="A26" s="33" t="s">
        <v>573</v>
      </c>
      <c r="B26" s="33" t="s">
        <v>173</v>
      </c>
      <c r="C26" s="111" t="s">
        <v>175</v>
      </c>
      <c r="D26" s="33">
        <v>15</v>
      </c>
      <c r="E26" s="741">
        <v>0.55339848758120669</v>
      </c>
      <c r="F26" s="741">
        <v>0.61792069206822853</v>
      </c>
      <c r="G26" s="741">
        <v>0.56787739024521189</v>
      </c>
      <c r="H26" s="741">
        <v>0.58245750092322657</v>
      </c>
      <c r="I26" s="741">
        <v>0.60875640028968681</v>
      </c>
      <c r="J26" s="741">
        <v>0.79953915932506958</v>
      </c>
      <c r="K26" s="741">
        <v>0.8565915402030525</v>
      </c>
      <c r="L26" s="741">
        <v>0.80429685784292282</v>
      </c>
      <c r="M26" s="741">
        <v>0.7954530358843882</v>
      </c>
      <c r="N26" s="741">
        <v>0.84794116038209177</v>
      </c>
      <c r="O26" s="741">
        <v>12.663851607452237</v>
      </c>
      <c r="P26" s="741">
        <v>10.366793292152447</v>
      </c>
      <c r="Q26" s="741">
        <v>13.979186161144746</v>
      </c>
      <c r="R26" s="741">
        <v>9.4402648976268217</v>
      </c>
      <c r="S26" s="741">
        <v>11.559595453047654</v>
      </c>
      <c r="T26" s="741">
        <v>10.027900390688199</v>
      </c>
      <c r="U26" s="741">
        <v>10.441477761158605</v>
      </c>
      <c r="V26" s="741">
        <v>10.425984103745515</v>
      </c>
      <c r="W26" s="741">
        <v>9.7229232228983804</v>
      </c>
      <c r="X26" s="741">
        <v>10.519149266189347</v>
      </c>
    </row>
    <row r="27" spans="1:24" ht="15" customHeight="1" x14ac:dyDescent="0.25">
      <c r="A27" s="33" t="s">
        <v>573</v>
      </c>
      <c r="B27" s="33" t="s">
        <v>173</v>
      </c>
      <c r="C27" s="111" t="s">
        <v>175</v>
      </c>
      <c r="D27" s="33">
        <v>20</v>
      </c>
      <c r="E27" s="741">
        <v>0.49024713452259527</v>
      </c>
      <c r="F27" s="741">
        <v>0.57247449220223501</v>
      </c>
      <c r="G27" s="741">
        <v>0.48519182376792563</v>
      </c>
      <c r="H27" s="741">
        <v>0.53976186861321085</v>
      </c>
      <c r="I27" s="741">
        <v>0.54985210264969153</v>
      </c>
      <c r="J27" s="741">
        <v>0.70829933690449687</v>
      </c>
      <c r="K27" s="741">
        <v>0.79359182059617317</v>
      </c>
      <c r="L27" s="741">
        <v>0.68718752676367922</v>
      </c>
      <c r="M27" s="741">
        <v>0.73714428325235348</v>
      </c>
      <c r="N27" s="741">
        <v>0.7658929413102572</v>
      </c>
      <c r="O27" s="741">
        <v>11.0651869799593</v>
      </c>
      <c r="P27" s="741">
        <v>9.5200888819829714</v>
      </c>
      <c r="Q27" s="741">
        <v>12.206048839119189</v>
      </c>
      <c r="R27" s="741">
        <v>8.6692401856064745</v>
      </c>
      <c r="S27" s="741">
        <v>10.374760895200072</v>
      </c>
      <c r="T27" s="741">
        <v>8.8963961332336581</v>
      </c>
      <c r="U27" s="741">
        <v>9.1917317591433534</v>
      </c>
      <c r="V27" s="741">
        <v>9.2050845631226572</v>
      </c>
      <c r="W27" s="741">
        <v>8.5591918553723438</v>
      </c>
      <c r="X27" s="741">
        <v>9.2740137411239711</v>
      </c>
    </row>
    <row r="28" spans="1:24" x14ac:dyDescent="0.25">
      <c r="A28" s="33" t="s">
        <v>573</v>
      </c>
      <c r="B28" s="33" t="s">
        <v>173</v>
      </c>
      <c r="C28" s="111" t="s">
        <v>175</v>
      </c>
      <c r="D28" s="33">
        <v>25</v>
      </c>
      <c r="E28" s="741">
        <v>0.4839991869322518</v>
      </c>
      <c r="F28" s="741">
        <v>0.53559054171600007</v>
      </c>
      <c r="G28" s="741">
        <v>0.47189582381528289</v>
      </c>
      <c r="H28" s="741">
        <v>0.50507774679065609</v>
      </c>
      <c r="I28" s="741">
        <v>0.52193027020217697</v>
      </c>
      <c r="J28" s="741">
        <v>0.69927242614128793</v>
      </c>
      <c r="K28" s="741">
        <v>0.74246150506971331</v>
      </c>
      <c r="L28" s="741">
        <v>0.66835611849230481</v>
      </c>
      <c r="M28" s="741">
        <v>0.68977672431972026</v>
      </c>
      <c r="N28" s="741">
        <v>0.72700042043610569</v>
      </c>
      <c r="O28" s="741">
        <v>10.055088588385843</v>
      </c>
      <c r="P28" s="741">
        <v>8.9570584251142726</v>
      </c>
      <c r="Q28" s="741">
        <v>10.99162580287854</v>
      </c>
      <c r="R28" s="741">
        <v>8.1565303786861652</v>
      </c>
      <c r="S28" s="741">
        <v>9.5807329679748801</v>
      </c>
      <c r="T28" s="741">
        <v>8.1773072626090251</v>
      </c>
      <c r="U28" s="741">
        <v>8.3275315210433707</v>
      </c>
      <c r="V28" s="741">
        <v>8.3856740683885249</v>
      </c>
      <c r="W28" s="741">
        <v>7.7544593992660031</v>
      </c>
      <c r="X28" s="741">
        <v>8.425797790303708</v>
      </c>
    </row>
    <row r="29" spans="1:24" x14ac:dyDescent="0.25">
      <c r="A29" s="33" t="s">
        <v>573</v>
      </c>
      <c r="B29" s="33" t="s">
        <v>173</v>
      </c>
      <c r="C29" s="111" t="s">
        <v>175</v>
      </c>
      <c r="D29" s="33">
        <v>30</v>
      </c>
      <c r="E29" s="741">
        <v>0.49387390612987048</v>
      </c>
      <c r="F29" s="741">
        <v>0.48144731838741045</v>
      </c>
      <c r="G29" s="741">
        <v>0.47119135170534882</v>
      </c>
      <c r="H29" s="741">
        <v>0.45408709596264113</v>
      </c>
      <c r="I29" s="741">
        <v>0.48812593955410083</v>
      </c>
      <c r="J29" s="741">
        <v>0.71353922459305741</v>
      </c>
      <c r="K29" s="741">
        <v>0.66740555103237298</v>
      </c>
      <c r="L29" s="741">
        <v>0.66735835962007128</v>
      </c>
      <c r="M29" s="741">
        <v>0.62013959553594744</v>
      </c>
      <c r="N29" s="741">
        <v>0.67991412558642661</v>
      </c>
      <c r="O29" s="741">
        <v>9.7571004136794137</v>
      </c>
      <c r="P29" s="741">
        <v>8.7408436937526517</v>
      </c>
      <c r="Q29" s="741">
        <v>10.581790753484272</v>
      </c>
      <c r="R29" s="741">
        <v>7.9596494612691382</v>
      </c>
      <c r="S29" s="741">
        <v>9.3007779521837168</v>
      </c>
      <c r="T29" s="741">
        <v>7.9835835209194634</v>
      </c>
      <c r="U29" s="741">
        <v>8.0207328103841604</v>
      </c>
      <c r="V29" s="741">
        <v>8.1189455990061496</v>
      </c>
      <c r="W29" s="741">
        <v>7.4687779008319017</v>
      </c>
      <c r="X29" s="741">
        <v>8.1371252088759523</v>
      </c>
    </row>
    <row r="30" spans="1:24" x14ac:dyDescent="0.25">
      <c r="A30" s="33" t="s">
        <v>573</v>
      </c>
      <c r="B30" s="33" t="s">
        <v>173</v>
      </c>
      <c r="C30" s="111" t="s">
        <v>175</v>
      </c>
      <c r="D30" s="33">
        <v>35</v>
      </c>
      <c r="E30" s="741">
        <v>0.52579488949470243</v>
      </c>
      <c r="F30" s="741">
        <v>0.47227675292116711</v>
      </c>
      <c r="G30" s="741">
        <v>0.48969519268617512</v>
      </c>
      <c r="H30" s="741">
        <v>0.43785546956960814</v>
      </c>
      <c r="I30" s="741">
        <v>0.48681694767310502</v>
      </c>
      <c r="J30" s="741">
        <v>0.75965802827085416</v>
      </c>
      <c r="K30" s="741">
        <v>0.65469286978039931</v>
      </c>
      <c r="L30" s="741">
        <v>0.69356574419736061</v>
      </c>
      <c r="M30" s="741">
        <v>0.59797231900295766</v>
      </c>
      <c r="N30" s="741">
        <v>0.67809082139779853</v>
      </c>
      <c r="O30" s="741">
        <v>8.6470275107143362</v>
      </c>
      <c r="P30" s="741">
        <v>7.736811950377616</v>
      </c>
      <c r="Q30" s="741">
        <v>9.1037896715059503</v>
      </c>
      <c r="R30" s="741">
        <v>7.0453359865563767</v>
      </c>
      <c r="S30" s="741">
        <v>8.1535978091939914</v>
      </c>
      <c r="T30" s="741">
        <v>7.1829948291163275</v>
      </c>
      <c r="U30" s="741">
        <v>6.9385455676320937</v>
      </c>
      <c r="V30" s="741">
        <v>7.1320570231213027</v>
      </c>
      <c r="W30" s="741">
        <v>6.461066361604022</v>
      </c>
      <c r="X30" s="741">
        <v>7.0951552778426068</v>
      </c>
    </row>
    <row r="31" spans="1:24" x14ac:dyDescent="0.25">
      <c r="A31" s="33" t="s">
        <v>573</v>
      </c>
      <c r="B31" s="33" t="s">
        <v>173</v>
      </c>
      <c r="C31" s="111" t="s">
        <v>175</v>
      </c>
      <c r="D31" s="33">
        <v>40</v>
      </c>
      <c r="E31" s="741">
        <v>0.54714594559480756</v>
      </c>
      <c r="F31" s="741">
        <v>0.47262869513160471</v>
      </c>
      <c r="G31" s="741">
        <v>0.50345351109303982</v>
      </c>
      <c r="H31" s="741">
        <v>0.43045437509891893</v>
      </c>
      <c r="I31" s="741">
        <v>0.48920966329860976</v>
      </c>
      <c r="J31" s="741">
        <v>0.79050561066956004</v>
      </c>
      <c r="K31" s="741">
        <v>0.65518074908913748</v>
      </c>
      <c r="L31" s="741">
        <v>0.71305194395443394</v>
      </c>
      <c r="M31" s="741">
        <v>0.58786476084421591</v>
      </c>
      <c r="N31" s="741">
        <v>0.68142365217048417</v>
      </c>
      <c r="O31" s="741">
        <v>8.4839657498626302</v>
      </c>
      <c r="P31" s="741">
        <v>7.4312738277965771</v>
      </c>
      <c r="Q31" s="741">
        <v>8.7652234392073094</v>
      </c>
      <c r="R31" s="741">
        <v>6.7671108943726734</v>
      </c>
      <c r="S31" s="741">
        <v>7.8534270770303296</v>
      </c>
      <c r="T31" s="741">
        <v>7.0527816056369232</v>
      </c>
      <c r="U31" s="741">
        <v>6.6741536555609233</v>
      </c>
      <c r="V31" s="741">
        <v>6.9166050494811335</v>
      </c>
      <c r="W31" s="741">
        <v>6.2148675159799565</v>
      </c>
      <c r="X31" s="741">
        <v>6.853805732493182</v>
      </c>
    </row>
    <row r="32" spans="1:24" x14ac:dyDescent="0.25">
      <c r="A32" s="33" t="s">
        <v>573</v>
      </c>
      <c r="B32" s="33" t="s">
        <v>173</v>
      </c>
      <c r="C32" s="111" t="s">
        <v>175</v>
      </c>
      <c r="D32" s="33">
        <v>45</v>
      </c>
      <c r="E32" s="741">
        <v>0.55873266379175834</v>
      </c>
      <c r="F32" s="741">
        <v>0.47296316483049322</v>
      </c>
      <c r="G32" s="741">
        <v>0.51217937530316149</v>
      </c>
      <c r="H32" s="741">
        <v>0.42837550200703434</v>
      </c>
      <c r="I32" s="741">
        <v>0.49184368321923039</v>
      </c>
      <c r="J32" s="741">
        <v>0.80724587132155001</v>
      </c>
      <c r="K32" s="741">
        <v>0.65564440715755912</v>
      </c>
      <c r="L32" s="741">
        <v>0.72541057151510235</v>
      </c>
      <c r="M32" s="741">
        <v>0.58502567660281313</v>
      </c>
      <c r="N32" s="741">
        <v>0.68509259742822237</v>
      </c>
      <c r="O32" s="741">
        <v>8.3396307679088011</v>
      </c>
      <c r="P32" s="741">
        <v>7.1944927323036501</v>
      </c>
      <c r="Q32" s="741">
        <v>8.4899752129591377</v>
      </c>
      <c r="R32" s="741">
        <v>6.5514923637159335</v>
      </c>
      <c r="S32" s="741">
        <v>7.6153366061860188</v>
      </c>
      <c r="T32" s="741">
        <v>6.9382703123800216</v>
      </c>
      <c r="U32" s="741">
        <v>6.466018109304378</v>
      </c>
      <c r="V32" s="741">
        <v>6.7422956700645313</v>
      </c>
      <c r="W32" s="741">
        <v>6.0210586429835606</v>
      </c>
      <c r="X32" s="741">
        <v>6.6613881548335296</v>
      </c>
    </row>
    <row r="33" spans="1:24" x14ac:dyDescent="0.25">
      <c r="A33" s="33" t="s">
        <v>573</v>
      </c>
      <c r="B33" s="33" t="s">
        <v>173</v>
      </c>
      <c r="C33" s="111" t="s">
        <v>175</v>
      </c>
      <c r="D33" s="33">
        <v>50</v>
      </c>
      <c r="E33" s="741">
        <v>0.55702542967187163</v>
      </c>
      <c r="F33" s="741">
        <v>0.47425417071061726</v>
      </c>
      <c r="G33" s="741">
        <v>0.51161865687536245</v>
      </c>
      <c r="H33" s="741">
        <v>0.43343575470744677</v>
      </c>
      <c r="I33" s="741">
        <v>0.4941966391453565</v>
      </c>
      <c r="J33" s="741">
        <v>0.80477929332465048</v>
      </c>
      <c r="K33" s="741">
        <v>0.65743406192954168</v>
      </c>
      <c r="L33" s="741">
        <v>0.72461641404843746</v>
      </c>
      <c r="M33" s="741">
        <v>0.59193638402181814</v>
      </c>
      <c r="N33" s="741">
        <v>0.68837004663019841</v>
      </c>
      <c r="O33" s="741">
        <v>8.1605111681312845</v>
      </c>
      <c r="P33" s="741">
        <v>7.4020987801705838</v>
      </c>
      <c r="Q33" s="741">
        <v>8.2061873097031164</v>
      </c>
      <c r="R33" s="741">
        <v>6.7405485287202014</v>
      </c>
      <c r="S33" s="741">
        <v>7.6380777096282131</v>
      </c>
      <c r="T33" s="741">
        <v>6.754872265688582</v>
      </c>
      <c r="U33" s="741">
        <v>6.2002398448346785</v>
      </c>
      <c r="V33" s="741">
        <v>6.5051055179222192</v>
      </c>
      <c r="W33" s="741">
        <v>5.7735700919824806</v>
      </c>
      <c r="X33" s="741">
        <v>6.4081579014759225</v>
      </c>
    </row>
    <row r="34" spans="1:24" x14ac:dyDescent="0.25">
      <c r="A34" s="33" t="s">
        <v>573</v>
      </c>
      <c r="B34" s="33" t="s">
        <v>173</v>
      </c>
      <c r="C34" s="111" t="s">
        <v>175</v>
      </c>
      <c r="D34" s="33">
        <v>55</v>
      </c>
      <c r="E34" s="741">
        <v>0.55198555877125421</v>
      </c>
      <c r="F34" s="741">
        <v>0.47900605198459179</v>
      </c>
      <c r="G34" s="741">
        <v>0.50888762797031895</v>
      </c>
      <c r="H34" s="741">
        <v>0.44096948250752077</v>
      </c>
      <c r="I34" s="741">
        <v>0.49744801987213844</v>
      </c>
      <c r="J34" s="741">
        <v>0.7974977878030165</v>
      </c>
      <c r="K34" s="741">
        <v>0.66402134950800407</v>
      </c>
      <c r="L34" s="741">
        <v>0.72074839957077674</v>
      </c>
      <c r="M34" s="741">
        <v>0.60222507742965758</v>
      </c>
      <c r="N34" s="741">
        <v>0.69289891818703053</v>
      </c>
      <c r="O34" s="741">
        <v>7.9920598010691233</v>
      </c>
      <c r="P34" s="741">
        <v>7.5719611519020837</v>
      </c>
      <c r="Q34" s="741">
        <v>7.9647927321182674</v>
      </c>
      <c r="R34" s="741">
        <v>6.8952365961293891</v>
      </c>
      <c r="S34" s="741">
        <v>7.6519938278615847</v>
      </c>
      <c r="T34" s="741">
        <v>6.5607381949065235</v>
      </c>
      <c r="U34" s="741">
        <v>5.9447499559621377</v>
      </c>
      <c r="V34" s="741">
        <v>6.2701043528774099</v>
      </c>
      <c r="W34" s="741">
        <v>5.5356660885297817</v>
      </c>
      <c r="X34" s="741">
        <v>6.1611284708520513</v>
      </c>
    </row>
    <row r="35" spans="1:24" x14ac:dyDescent="0.25">
      <c r="A35" s="33" t="s">
        <v>573</v>
      </c>
      <c r="B35" s="33" t="s">
        <v>173</v>
      </c>
      <c r="C35" s="111" t="s">
        <v>175</v>
      </c>
      <c r="D35" s="33">
        <v>60</v>
      </c>
      <c r="E35" s="741">
        <v>0.5485058889872555</v>
      </c>
      <c r="F35" s="741">
        <v>0.48267747673972111</v>
      </c>
      <c r="G35" s="741">
        <v>0.51017996512134389</v>
      </c>
      <c r="H35" s="741">
        <v>0.45105047232583606</v>
      </c>
      <c r="I35" s="741">
        <v>0.50306348075489782</v>
      </c>
      <c r="J35" s="741">
        <v>0.79247042991126049</v>
      </c>
      <c r="K35" s="741">
        <v>0.66911085601928399</v>
      </c>
      <c r="L35" s="741">
        <v>0.72257876423698431</v>
      </c>
      <c r="M35" s="741">
        <v>0.61599252645896552</v>
      </c>
      <c r="N35" s="741">
        <v>0.70072073396546231</v>
      </c>
      <c r="O35" s="741">
        <v>7.9155051425941121</v>
      </c>
      <c r="P35" s="741">
        <v>7.4920565678979711</v>
      </c>
      <c r="Q35" s="741">
        <v>7.8644807379123796</v>
      </c>
      <c r="R35" s="741">
        <v>6.8224671363560487</v>
      </c>
      <c r="S35" s="741">
        <v>7.5669757508853346</v>
      </c>
      <c r="T35" s="741">
        <v>6.4315135691070759</v>
      </c>
      <c r="U35" s="741">
        <v>5.7996721760429564</v>
      </c>
      <c r="V35" s="741">
        <v>6.1292020567096905</v>
      </c>
      <c r="W35" s="741">
        <v>5.4005655530126404</v>
      </c>
      <c r="X35" s="741">
        <v>6.0170097818375261</v>
      </c>
    </row>
    <row r="36" spans="1:24" x14ac:dyDescent="0.25">
      <c r="A36" s="33" t="s">
        <v>573</v>
      </c>
      <c r="B36" s="33" t="s">
        <v>173</v>
      </c>
      <c r="C36" s="111" t="s">
        <v>175</v>
      </c>
      <c r="D36" s="33">
        <v>65</v>
      </c>
      <c r="E36" s="741">
        <v>0.56011429585034411</v>
      </c>
      <c r="F36" s="741">
        <v>0.49410071977336079</v>
      </c>
      <c r="G36" s="741">
        <v>0.52879853688089196</v>
      </c>
      <c r="H36" s="741">
        <v>0.46609316110742954</v>
      </c>
      <c r="I36" s="741">
        <v>0.51893632949947144</v>
      </c>
      <c r="J36" s="741">
        <v>0.80924202591793604</v>
      </c>
      <c r="K36" s="741">
        <v>0.68494630783357402</v>
      </c>
      <c r="L36" s="741">
        <v>0.74894864446282194</v>
      </c>
      <c r="M36" s="741">
        <v>0.63653608962059738</v>
      </c>
      <c r="N36" s="741">
        <v>0.72283013893703785</v>
      </c>
      <c r="O36" s="741">
        <v>8.4700813048709005</v>
      </c>
      <c r="P36" s="741">
        <v>8.2650643625414695</v>
      </c>
      <c r="Q36" s="741">
        <v>8.5656291917917713</v>
      </c>
      <c r="R36" s="741">
        <v>7.5263888264243537</v>
      </c>
      <c r="S36" s="741">
        <v>8.2914993759811306</v>
      </c>
      <c r="T36" s="741">
        <v>6.6192708678358585</v>
      </c>
      <c r="U36" s="741">
        <v>6.0697553381689398</v>
      </c>
      <c r="V36" s="741">
        <v>6.3707791006496617</v>
      </c>
      <c r="W36" s="741">
        <v>5.6520635554031431</v>
      </c>
      <c r="X36" s="741">
        <v>6.2746228400649029</v>
      </c>
    </row>
    <row r="37" spans="1:24" x14ac:dyDescent="0.25">
      <c r="A37" s="33" t="s">
        <v>573</v>
      </c>
      <c r="B37" s="33" t="s">
        <v>173</v>
      </c>
      <c r="C37" s="111" t="s">
        <v>175</v>
      </c>
      <c r="D37" s="33">
        <v>70</v>
      </c>
      <c r="E37" s="741">
        <v>0.58386942836819755</v>
      </c>
      <c r="F37" s="741">
        <v>0.52558832472730022</v>
      </c>
      <c r="G37" s="741">
        <v>0.56134940214004581</v>
      </c>
      <c r="H37" s="741">
        <v>0.49579447764525975</v>
      </c>
      <c r="I37" s="741">
        <v>0.55071170779922574</v>
      </c>
      <c r="J37" s="741">
        <v>0.84356297024504345</v>
      </c>
      <c r="K37" s="741">
        <v>0.72859594826643082</v>
      </c>
      <c r="L37" s="741">
        <v>0.7950511290796175</v>
      </c>
      <c r="M37" s="741">
        <v>0.67709870985011067</v>
      </c>
      <c r="N37" s="741">
        <v>0.76709029149436936</v>
      </c>
      <c r="O37" s="741">
        <v>8.9999686714512883</v>
      </c>
      <c r="P37" s="741">
        <v>8.9969545313341577</v>
      </c>
      <c r="Q37" s="741">
        <v>9.2315048690783801</v>
      </c>
      <c r="R37" s="741">
        <v>8.1928704662643792</v>
      </c>
      <c r="S37" s="741">
        <v>8.9785168499095764</v>
      </c>
      <c r="T37" s="741">
        <v>6.7830386765095927</v>
      </c>
      <c r="U37" s="741">
        <v>6.310769575595141</v>
      </c>
      <c r="V37" s="741">
        <v>6.5848632086567269</v>
      </c>
      <c r="W37" s="741">
        <v>5.8764896354412777</v>
      </c>
      <c r="X37" s="741">
        <v>6.5037405925132159</v>
      </c>
    </row>
    <row r="38" spans="1:24" x14ac:dyDescent="0.25">
      <c r="A38" s="33" t="s">
        <v>573</v>
      </c>
      <c r="B38" s="33" t="s">
        <v>173</v>
      </c>
      <c r="C38" s="111" t="s">
        <v>175</v>
      </c>
      <c r="D38" s="33">
        <v>75</v>
      </c>
      <c r="E38" s="741">
        <v>0.61435786784877455</v>
      </c>
      <c r="F38" s="741">
        <v>0.56881443569370949</v>
      </c>
      <c r="G38" s="741">
        <v>0.60167515871291843</v>
      </c>
      <c r="H38" s="741">
        <v>0.53656888395771229</v>
      </c>
      <c r="I38" s="741">
        <v>0.59284144593938493</v>
      </c>
      <c r="J38" s="741">
        <v>0.88761206293045991</v>
      </c>
      <c r="K38" s="741">
        <v>0.7885180732979975</v>
      </c>
      <c r="L38" s="741">
        <v>0.85216535806431948</v>
      </c>
      <c r="M38" s="741">
        <v>0.73278367439467251</v>
      </c>
      <c r="N38" s="741">
        <v>0.82577310621001032</v>
      </c>
      <c r="O38" s="741">
        <v>9.0487956194622683</v>
      </c>
      <c r="P38" s="741">
        <v>9.0882603819708301</v>
      </c>
      <c r="Q38" s="741">
        <v>9.3073194669962049</v>
      </c>
      <c r="R38" s="741">
        <v>8.2760103229353525</v>
      </c>
      <c r="S38" s="741">
        <v>9.0605205989223219</v>
      </c>
      <c r="T38" s="741">
        <v>6.6132900848636034</v>
      </c>
      <c r="U38" s="741">
        <v>6.1294210497934669</v>
      </c>
      <c r="V38" s="741">
        <v>6.4055168051349263</v>
      </c>
      <c r="W38" s="741">
        <v>5.7076227550250396</v>
      </c>
      <c r="X38" s="741">
        <v>6.3219367510308473</v>
      </c>
    </row>
    <row r="39" spans="1:24" x14ac:dyDescent="0.25">
      <c r="A39" s="33" t="s">
        <v>573</v>
      </c>
      <c r="B39" s="33" t="s">
        <v>173</v>
      </c>
      <c r="C39" s="33" t="s">
        <v>176</v>
      </c>
      <c r="D39" s="744" t="s">
        <v>574</v>
      </c>
      <c r="E39" s="745">
        <v>3.5051530121013252E-3</v>
      </c>
      <c r="F39" s="745">
        <v>3.724981675895505E-3</v>
      </c>
      <c r="G39" s="745">
        <v>4.1378464070856054E-3</v>
      </c>
      <c r="H39" s="745">
        <v>4.8042751479743673E-3</v>
      </c>
      <c r="I39" s="745">
        <v>4.309459763167052E-3</v>
      </c>
      <c r="J39" s="745">
        <v>4.1888470738630033E-3</v>
      </c>
      <c r="K39" s="745">
        <v>4.2720385278580816E-3</v>
      </c>
      <c r="L39" s="745">
        <v>4.9015858035513001E-3</v>
      </c>
      <c r="M39" s="745">
        <v>5.5822491072608973E-3</v>
      </c>
      <c r="N39" s="745">
        <v>5.0362830300759364E-3</v>
      </c>
      <c r="O39" s="745">
        <v>0.10295436218735227</v>
      </c>
      <c r="P39" s="745">
        <v>0.12529459773651408</v>
      </c>
      <c r="Q39" s="745">
        <v>0.11843091467224154</v>
      </c>
      <c r="R39" s="745">
        <v>0.15220266558564369</v>
      </c>
      <c r="S39" s="745">
        <v>0.1331866402709799</v>
      </c>
      <c r="T39" s="745">
        <v>7.0368247691684954E-2</v>
      </c>
      <c r="U39" s="745">
        <v>9.6720011183650853E-2</v>
      </c>
      <c r="V39" s="745">
        <v>8.0362327794307312E-2</v>
      </c>
      <c r="W39" s="745">
        <v>0.12900491148738508</v>
      </c>
      <c r="X39" s="745">
        <v>0.10372234806039235</v>
      </c>
    </row>
    <row r="40" spans="1:24" x14ac:dyDescent="0.25">
      <c r="A40" s="33" t="s">
        <v>573</v>
      </c>
      <c r="B40" s="33" t="s">
        <v>173</v>
      </c>
      <c r="C40" s="33" t="s">
        <v>176</v>
      </c>
      <c r="D40" s="33">
        <v>2.5</v>
      </c>
      <c r="E40" s="741">
        <v>2.0189535962295745E-2</v>
      </c>
      <c r="F40" s="741">
        <v>3.0295785543371288E-2</v>
      </c>
      <c r="G40" s="741">
        <v>2.859939227281438E-2</v>
      </c>
      <c r="H40" s="741">
        <v>3.0425674846086374E-2</v>
      </c>
      <c r="I40" s="741">
        <v>3.0243042493716499E-2</v>
      </c>
      <c r="J40" s="741">
        <v>2.4128529597148989E-2</v>
      </c>
      <c r="K40" s="741">
        <v>3.4744086470564831E-2</v>
      </c>
      <c r="L40" s="741">
        <v>3.3891624301190526E-2</v>
      </c>
      <c r="M40" s="741">
        <v>3.5357849264827435E-2</v>
      </c>
      <c r="N40" s="741">
        <v>3.5345322440280574E-2</v>
      </c>
      <c r="O40" s="741">
        <v>0.72094861145858802</v>
      </c>
      <c r="P40" s="741">
        <v>0.85840910662996595</v>
      </c>
      <c r="Q40" s="741">
        <v>0.96066951740332096</v>
      </c>
      <c r="R40" s="741">
        <v>0.80611055707425683</v>
      </c>
      <c r="S40" s="741">
        <v>0.86993922729518403</v>
      </c>
      <c r="T40" s="741">
        <v>0.59777931540301099</v>
      </c>
      <c r="U40" s="741">
        <v>0.6831247020482818</v>
      </c>
      <c r="V40" s="741">
        <v>0.69508170778642764</v>
      </c>
      <c r="W40" s="741">
        <v>0.65117084767613154</v>
      </c>
      <c r="X40" s="741">
        <v>0.70143501983265422</v>
      </c>
    </row>
    <row r="41" spans="1:24" x14ac:dyDescent="0.25">
      <c r="A41" s="33" t="s">
        <v>573</v>
      </c>
      <c r="B41" s="33" t="s">
        <v>173</v>
      </c>
      <c r="C41" s="33" t="s">
        <v>176</v>
      </c>
      <c r="D41" s="33">
        <v>5</v>
      </c>
      <c r="E41" s="741">
        <v>1.1287205356280293E-2</v>
      </c>
      <c r="F41" s="741">
        <v>1.6935490634460072E-2</v>
      </c>
      <c r="G41" s="741">
        <v>1.5892927475361907E-2</v>
      </c>
      <c r="H41" s="741">
        <v>1.7042353316876306E-2</v>
      </c>
      <c r="I41" s="741">
        <v>1.6890107058857871E-2</v>
      </c>
      <c r="J41" s="741">
        <v>1.3489347601485912E-2</v>
      </c>
      <c r="K41" s="741">
        <v>1.9422112365522246E-2</v>
      </c>
      <c r="L41" s="741">
        <v>1.8833866185088297E-2</v>
      </c>
      <c r="M41" s="741">
        <v>1.9805015426750793E-2</v>
      </c>
      <c r="N41" s="741">
        <v>1.9739623755454641E-2</v>
      </c>
      <c r="O41" s="741">
        <v>0.37975986562991371</v>
      </c>
      <c r="P41" s="741">
        <v>0.43398003964577681</v>
      </c>
      <c r="Q41" s="741">
        <v>0.49600858148143828</v>
      </c>
      <c r="R41" s="741">
        <v>0.40754757274305786</v>
      </c>
      <c r="S41" s="741">
        <v>0.44449453113657683</v>
      </c>
      <c r="T41" s="741">
        <v>0.30784989942549779</v>
      </c>
      <c r="U41" s="741">
        <v>0.34394024019380837</v>
      </c>
      <c r="V41" s="741">
        <v>0.35195603912240037</v>
      </c>
      <c r="W41" s="741">
        <v>0.32785696629820066</v>
      </c>
      <c r="X41" s="741">
        <v>0.35440078285323634</v>
      </c>
    </row>
    <row r="42" spans="1:24" x14ac:dyDescent="0.25">
      <c r="A42" s="33" t="s">
        <v>573</v>
      </c>
      <c r="B42" s="33" t="s">
        <v>173</v>
      </c>
      <c r="C42" s="33" t="s">
        <v>176</v>
      </c>
      <c r="D42" s="33">
        <v>10</v>
      </c>
      <c r="E42" s="741">
        <v>6.6992803126681624E-3</v>
      </c>
      <c r="F42" s="741">
        <v>1.0255325268916661E-2</v>
      </c>
      <c r="G42" s="741">
        <v>9.4173248423741716E-3</v>
      </c>
      <c r="H42" s="741">
        <v>1.0350707464906295E-2</v>
      </c>
      <c r="I42" s="741">
        <v>1.0157682778480108E-2</v>
      </c>
      <c r="J42" s="741">
        <v>8.0063149349090274E-3</v>
      </c>
      <c r="K42" s="741">
        <v>1.1761104772045429E-2</v>
      </c>
      <c r="L42" s="741">
        <v>1.1159972646810559E-2</v>
      </c>
      <c r="M42" s="741">
        <v>1.2028615837770195E-2</v>
      </c>
      <c r="N42" s="741">
        <v>1.1871377462305861E-2</v>
      </c>
      <c r="O42" s="741">
        <v>0.23086300408098975</v>
      </c>
      <c r="P42" s="741">
        <v>0.24683677106828217</v>
      </c>
      <c r="Q42" s="741">
        <v>0.30610124026691388</v>
      </c>
      <c r="R42" s="741">
        <v>0.23185074619190943</v>
      </c>
      <c r="S42" s="741">
        <v>0.26159788194842215</v>
      </c>
      <c r="T42" s="741">
        <v>0.17936909100493412</v>
      </c>
      <c r="U42" s="741">
        <v>0.20444245394333935</v>
      </c>
      <c r="V42" s="741">
        <v>0.20695593562429113</v>
      </c>
      <c r="W42" s="741">
        <v>0.19494554421117471</v>
      </c>
      <c r="X42" s="741">
        <v>0.2096672901652995</v>
      </c>
    </row>
    <row r="43" spans="1:24" x14ac:dyDescent="0.25">
      <c r="A43" s="33" t="s">
        <v>573</v>
      </c>
      <c r="B43" s="33" t="s">
        <v>173</v>
      </c>
      <c r="C43" s="33" t="s">
        <v>176</v>
      </c>
      <c r="D43" s="33">
        <v>15</v>
      </c>
      <c r="E43" s="741">
        <v>5.0745782436767903E-3</v>
      </c>
      <c r="F43" s="741">
        <v>8.028608213971021E-3</v>
      </c>
      <c r="G43" s="741">
        <v>7.1095807958629145E-3</v>
      </c>
      <c r="H43" s="741">
        <v>8.1201504180749545E-3</v>
      </c>
      <c r="I43" s="741">
        <v>7.8536480370197132E-3</v>
      </c>
      <c r="J43" s="741">
        <v>6.0646322716017944E-3</v>
      </c>
      <c r="K43" s="741">
        <v>9.2074410028139941E-3</v>
      </c>
      <c r="L43" s="741">
        <v>8.4251874646087844E-3</v>
      </c>
      <c r="M43" s="741">
        <v>9.4364728454642815E-3</v>
      </c>
      <c r="N43" s="741">
        <v>9.1786308291770691E-3</v>
      </c>
      <c r="O43" s="741">
        <v>0.18555885775561975</v>
      </c>
      <c r="P43" s="741">
        <v>0.18784817856140953</v>
      </c>
      <c r="Q43" s="741">
        <v>0.24615763561365439</v>
      </c>
      <c r="R43" s="741">
        <v>0.17647657923828813</v>
      </c>
      <c r="S43" s="741">
        <v>0.20409241757500146</v>
      </c>
      <c r="T43" s="741">
        <v>0.15242564675861497</v>
      </c>
      <c r="U43" s="741">
        <v>0.17552450148579812</v>
      </c>
      <c r="V43" s="741">
        <v>0.17686437808607297</v>
      </c>
      <c r="W43" s="741">
        <v>0.16743515220546226</v>
      </c>
      <c r="X43" s="741">
        <v>0.17964566260416054</v>
      </c>
    </row>
    <row r="44" spans="1:24" x14ac:dyDescent="0.25">
      <c r="A44" s="33" t="s">
        <v>573</v>
      </c>
      <c r="B44" s="33" t="s">
        <v>173</v>
      </c>
      <c r="C44" s="33" t="s">
        <v>176</v>
      </c>
      <c r="D44" s="33">
        <v>20</v>
      </c>
      <c r="E44" s="741">
        <v>3.9875087671262703E-3</v>
      </c>
      <c r="F44" s="741">
        <v>6.7035536730475206E-3</v>
      </c>
      <c r="G44" s="741">
        <v>5.4797650097940433E-3</v>
      </c>
      <c r="H44" s="741">
        <v>6.7877698023708355E-3</v>
      </c>
      <c r="I44" s="741">
        <v>6.3825553255145318E-3</v>
      </c>
      <c r="J44" s="741">
        <v>4.7654747234496114E-3</v>
      </c>
      <c r="K44" s="741">
        <v>7.6878299835798766E-3</v>
      </c>
      <c r="L44" s="741">
        <v>6.4937791404500143E-3</v>
      </c>
      <c r="M44" s="741">
        <v>7.8881057768040476E-3</v>
      </c>
      <c r="N44" s="741">
        <v>7.45935122169378E-3</v>
      </c>
      <c r="O44" s="741">
        <v>0.1651258032730652</v>
      </c>
      <c r="P44" s="741">
        <v>0.17470910318744667</v>
      </c>
      <c r="Q44" s="741">
        <v>0.21774877913212301</v>
      </c>
      <c r="R44" s="741">
        <v>0.16417511497367376</v>
      </c>
      <c r="S44" s="741">
        <v>0.18569568477228784</v>
      </c>
      <c r="T44" s="741">
        <v>0.13523232891572884</v>
      </c>
      <c r="U44" s="741">
        <v>0.1545817763265776</v>
      </c>
      <c r="V44" s="741">
        <v>0.15617075697963617</v>
      </c>
      <c r="W44" s="741">
        <v>0.14748678351085978</v>
      </c>
      <c r="X44" s="741">
        <v>0.15844120945116097</v>
      </c>
    </row>
    <row r="45" spans="1:24" x14ac:dyDescent="0.25">
      <c r="A45" s="33" t="s">
        <v>573</v>
      </c>
      <c r="B45" s="33" t="s">
        <v>173</v>
      </c>
      <c r="C45" s="33" t="s">
        <v>176</v>
      </c>
      <c r="D45" s="33">
        <v>25</v>
      </c>
      <c r="E45" s="741">
        <v>3.4483867187167774E-3</v>
      </c>
      <c r="F45" s="741">
        <v>5.4823285909273824E-3</v>
      </c>
      <c r="G45" s="741">
        <v>4.6685067929535858E-3</v>
      </c>
      <c r="H45" s="741">
        <v>5.5512762443644297E-3</v>
      </c>
      <c r="I45" s="741">
        <v>5.3028272006094869E-3</v>
      </c>
      <c r="J45" s="741">
        <v>4.121169558347397E-3</v>
      </c>
      <c r="K45" s="741">
        <v>6.2872936022914079E-3</v>
      </c>
      <c r="L45" s="741">
        <v>5.5324000162318325E-3</v>
      </c>
      <c r="M45" s="741">
        <v>6.4511696016136943E-3</v>
      </c>
      <c r="N45" s="741">
        <v>6.1974630128425225E-3</v>
      </c>
      <c r="O45" s="741">
        <v>0.14993026876334103</v>
      </c>
      <c r="P45" s="741">
        <v>0.16376912105473138</v>
      </c>
      <c r="Q45" s="741">
        <v>0.19486791616741833</v>
      </c>
      <c r="R45" s="741">
        <v>0.1539188685643037</v>
      </c>
      <c r="S45" s="741">
        <v>0.17079147143904724</v>
      </c>
      <c r="T45" s="741">
        <v>0.12477488924339186</v>
      </c>
      <c r="U45" s="741">
        <v>0.14119280869715947</v>
      </c>
      <c r="V45" s="741">
        <v>0.1431741231855915</v>
      </c>
      <c r="W45" s="741">
        <v>0.13473123794117836</v>
      </c>
      <c r="X45" s="741">
        <v>0.14500420441310014</v>
      </c>
    </row>
    <row r="46" spans="1:24" x14ac:dyDescent="0.25">
      <c r="A46" s="33" t="s">
        <v>573</v>
      </c>
      <c r="B46" s="33" t="s">
        <v>173</v>
      </c>
      <c r="C46" s="33" t="s">
        <v>176</v>
      </c>
      <c r="D46" s="33">
        <v>30</v>
      </c>
      <c r="E46" s="741">
        <v>3.4065220372378E-3</v>
      </c>
      <c r="F46" s="741">
        <v>4.5801172941439434E-3</v>
      </c>
      <c r="G46" s="741">
        <v>4.3139862306706472E-3</v>
      </c>
      <c r="H46" s="741">
        <v>4.6390135241115996E-3</v>
      </c>
      <c r="I46" s="741">
        <v>4.6273171996060666E-3</v>
      </c>
      <c r="J46" s="741">
        <v>4.0711370460584989E-3</v>
      </c>
      <c r="K46" s="741">
        <v>5.2526114922900437E-3</v>
      </c>
      <c r="L46" s="741">
        <v>5.1122764839090316E-3</v>
      </c>
      <c r="M46" s="741">
        <v>5.3910239215000447E-3</v>
      </c>
      <c r="N46" s="741">
        <v>5.4079882501078943E-3</v>
      </c>
      <c r="O46" s="741">
        <v>0.14761692222981795</v>
      </c>
      <c r="P46" s="741">
        <v>0.16154758730989005</v>
      </c>
      <c r="Q46" s="741">
        <v>0.18966657183535571</v>
      </c>
      <c r="R46" s="741">
        <v>0.1518525666091024</v>
      </c>
      <c r="S46" s="741">
        <v>0.16768396002750841</v>
      </c>
      <c r="T46" s="741">
        <v>0.11974936317014993</v>
      </c>
      <c r="U46" s="741">
        <v>0.13397083297721887</v>
      </c>
      <c r="V46" s="741">
        <v>0.1364278839509673</v>
      </c>
      <c r="W46" s="741">
        <v>0.12785575993013051</v>
      </c>
      <c r="X46" s="741">
        <v>0.13789585250403033</v>
      </c>
    </row>
    <row r="47" spans="1:24" x14ac:dyDescent="0.25">
      <c r="A47" s="33" t="s">
        <v>573</v>
      </c>
      <c r="B47" s="33" t="s">
        <v>173</v>
      </c>
      <c r="C47" s="33" t="s">
        <v>176</v>
      </c>
      <c r="D47" s="33">
        <v>35</v>
      </c>
      <c r="E47" s="741">
        <v>4.0864796341606377E-3</v>
      </c>
      <c r="F47" s="741">
        <v>4.0420603977911586E-3</v>
      </c>
      <c r="G47" s="741">
        <v>4.4320671257817995E-3</v>
      </c>
      <c r="H47" s="741">
        <v>4.0471841366761163E-3</v>
      </c>
      <c r="I47" s="741">
        <v>4.3939201735683619E-3</v>
      </c>
      <c r="J47" s="741">
        <v>4.8837548810002299E-3</v>
      </c>
      <c r="K47" s="741">
        <v>4.6355522215805172E-3</v>
      </c>
      <c r="L47" s="741">
        <v>5.2522078956005859E-3</v>
      </c>
      <c r="M47" s="741">
        <v>4.7032556344432782E-3</v>
      </c>
      <c r="N47" s="741">
        <v>5.1352149951148099E-3</v>
      </c>
      <c r="O47" s="741">
        <v>0.12581138797331942</v>
      </c>
      <c r="P47" s="741">
        <v>0.13443679236599401</v>
      </c>
      <c r="Q47" s="741">
        <v>0.15357975553695982</v>
      </c>
      <c r="R47" s="741">
        <v>0.1263659064922158</v>
      </c>
      <c r="S47" s="741">
        <v>0.13856191427152831</v>
      </c>
      <c r="T47" s="741">
        <v>9.8523313250691774E-2</v>
      </c>
      <c r="U47" s="741">
        <v>0.10346542301909256</v>
      </c>
      <c r="V47" s="741">
        <v>0.10798880755308585</v>
      </c>
      <c r="W47" s="741">
        <v>9.8734353709942796E-2</v>
      </c>
      <c r="X47" s="741">
        <v>0.10785054328641266</v>
      </c>
    </row>
    <row r="48" spans="1:24" x14ac:dyDescent="0.25">
      <c r="A48" s="33" t="s">
        <v>573</v>
      </c>
      <c r="B48" s="33" t="s">
        <v>173</v>
      </c>
      <c r="C48" s="33" t="s">
        <v>176</v>
      </c>
      <c r="D48" s="33">
        <v>40</v>
      </c>
      <c r="E48" s="741">
        <v>4.6099944362703628E-3</v>
      </c>
      <c r="F48" s="741">
        <v>3.6638703926567709E-3</v>
      </c>
      <c r="G48" s="741">
        <v>4.5272038650794582E-3</v>
      </c>
      <c r="H48" s="741">
        <v>3.6181688250955762E-3</v>
      </c>
      <c r="I48" s="741">
        <v>4.2335511966991131E-3</v>
      </c>
      <c r="J48" s="741">
        <v>5.509407814323704E-3</v>
      </c>
      <c r="K48" s="741">
        <v>4.201832943303954E-3</v>
      </c>
      <c r="L48" s="741">
        <v>5.3649494040480059E-3</v>
      </c>
      <c r="M48" s="741">
        <v>4.2046945081608512E-3</v>
      </c>
      <c r="N48" s="741">
        <v>4.9477902941099678E-3</v>
      </c>
      <c r="O48" s="741">
        <v>0.1232527878529165</v>
      </c>
      <c r="P48" s="741">
        <v>0.12344487073601952</v>
      </c>
      <c r="Q48" s="741">
        <v>0.14313579450911798</v>
      </c>
      <c r="R48" s="741">
        <v>0.11603814692945325</v>
      </c>
      <c r="S48" s="741">
        <v>0.12866420370784243</v>
      </c>
      <c r="T48" s="741">
        <v>9.4743533783700748E-2</v>
      </c>
      <c r="U48" s="741">
        <v>9.5362058827408017E-2</v>
      </c>
      <c r="V48" s="741">
        <v>0.10123467817817032</v>
      </c>
      <c r="W48" s="741">
        <v>9.1006715390545584E-2</v>
      </c>
      <c r="X48" s="741">
        <v>0.10028863564106667</v>
      </c>
    </row>
    <row r="49" spans="1:24" x14ac:dyDescent="0.25">
      <c r="A49" s="33" t="s">
        <v>573</v>
      </c>
      <c r="B49" s="33" t="s">
        <v>173</v>
      </c>
      <c r="C49" s="33" t="s">
        <v>176</v>
      </c>
      <c r="D49" s="33">
        <v>45</v>
      </c>
      <c r="E49" s="741">
        <v>4.9037536491747533E-3</v>
      </c>
      <c r="F49" s="741">
        <v>3.3697159728395187E-3</v>
      </c>
      <c r="G49" s="741">
        <v>4.5408418688848992E-3</v>
      </c>
      <c r="H49" s="741">
        <v>3.2899165471407046E-3</v>
      </c>
      <c r="I49" s="741">
        <v>4.0781813913355024E-3</v>
      </c>
      <c r="J49" s="741">
        <v>5.8604796703701084E-3</v>
      </c>
      <c r="K49" s="741">
        <v>3.8644881141626747E-3</v>
      </c>
      <c r="L49" s="741">
        <v>5.3811110796802382E-3</v>
      </c>
      <c r="M49" s="741">
        <v>3.8232306746229907E-3</v>
      </c>
      <c r="N49" s="741">
        <v>4.7662081709091888E-3</v>
      </c>
      <c r="O49" s="741">
        <v>0.11952713894753596</v>
      </c>
      <c r="P49" s="741">
        <v>0.11466516861666773</v>
      </c>
      <c r="Q49" s="741">
        <v>0.13389358256729189</v>
      </c>
      <c r="R49" s="741">
        <v>0.10778875209098734</v>
      </c>
      <c r="S49" s="741">
        <v>0.12031444254909435</v>
      </c>
      <c r="T49" s="741">
        <v>9.1559497552816074E-2</v>
      </c>
      <c r="U49" s="741">
        <v>8.9064407619437486E-2</v>
      </c>
      <c r="V49" s="741">
        <v>9.5878982034485929E-2</v>
      </c>
      <c r="W49" s="741">
        <v>8.5001131616968692E-2</v>
      </c>
      <c r="X49" s="741">
        <v>9.4356571202616452E-2</v>
      </c>
    </row>
    <row r="50" spans="1:24" x14ac:dyDescent="0.25">
      <c r="A50" s="33" t="s">
        <v>573</v>
      </c>
      <c r="B50" s="33" t="s">
        <v>173</v>
      </c>
      <c r="C50" s="33" t="s">
        <v>176</v>
      </c>
      <c r="D50" s="33">
        <v>50</v>
      </c>
      <c r="E50" s="741">
        <v>4.8010114672583735E-3</v>
      </c>
      <c r="F50" s="741">
        <v>3.1413375699506398E-3</v>
      </c>
      <c r="G50" s="741">
        <v>4.3289558128551796E-3</v>
      </c>
      <c r="H50" s="741">
        <v>3.0365144217750573E-3</v>
      </c>
      <c r="I50" s="741">
        <v>3.8468329622898447E-3</v>
      </c>
      <c r="J50" s="741">
        <v>5.7376924115705684E-3</v>
      </c>
      <c r="K50" s="741">
        <v>3.6025771309791789E-3</v>
      </c>
      <c r="L50" s="741">
        <v>5.1300161425180098E-3</v>
      </c>
      <c r="M50" s="741">
        <v>3.5287506278404643E-3</v>
      </c>
      <c r="N50" s="741">
        <v>4.4958291300977327E-3</v>
      </c>
      <c r="O50" s="741">
        <v>0.11401586203256595</v>
      </c>
      <c r="P50" s="741">
        <v>0.10602226712064076</v>
      </c>
      <c r="Q50" s="741">
        <v>0.12321153720702573</v>
      </c>
      <c r="R50" s="741">
        <v>9.966991180382101E-2</v>
      </c>
      <c r="S50" s="741">
        <v>0.11142888784617427</v>
      </c>
      <c r="T50" s="741">
        <v>8.4408380256109874E-2</v>
      </c>
      <c r="U50" s="741">
        <v>7.8525252049849975E-2</v>
      </c>
      <c r="V50" s="741">
        <v>8.613147921059483E-2</v>
      </c>
      <c r="W50" s="741">
        <v>7.4942316473088924E-2</v>
      </c>
      <c r="X50" s="741">
        <v>8.4017912497117625E-2</v>
      </c>
    </row>
    <row r="51" spans="1:24" x14ac:dyDescent="0.25">
      <c r="A51" s="33" t="s">
        <v>573</v>
      </c>
      <c r="B51" s="33" t="s">
        <v>173</v>
      </c>
      <c r="C51" s="33" t="s">
        <v>176</v>
      </c>
      <c r="D51" s="33">
        <v>55</v>
      </c>
      <c r="E51" s="741">
        <v>4.2891230889245801E-3</v>
      </c>
      <c r="F51" s="741">
        <v>2.982165452548468E-3</v>
      </c>
      <c r="G51" s="741">
        <v>3.9164857587931775E-3</v>
      </c>
      <c r="H51" s="741">
        <v>2.8907253343693315E-3</v>
      </c>
      <c r="I51" s="741">
        <v>3.5609050928779615E-3</v>
      </c>
      <c r="J51" s="741">
        <v>5.1259342260367635E-3</v>
      </c>
      <c r="K51" s="741">
        <v>3.4200339253307624E-3</v>
      </c>
      <c r="L51" s="741">
        <v>4.6412197382304492E-3</v>
      </c>
      <c r="M51" s="741">
        <v>3.3593283026817017E-3</v>
      </c>
      <c r="N51" s="741">
        <v>4.1616625944019556E-3</v>
      </c>
      <c r="O51" s="741">
        <v>0.10840919499176233</v>
      </c>
      <c r="P51" s="741">
        <v>9.895074340279425E-2</v>
      </c>
      <c r="Q51" s="741">
        <v>0.11392173458042799</v>
      </c>
      <c r="R51" s="741">
        <v>9.3027238260819323E-2</v>
      </c>
      <c r="S51" s="741">
        <v>0.10388049531750747</v>
      </c>
      <c r="T51" s="741">
        <v>7.5713130242774082E-2</v>
      </c>
      <c r="U51" s="741">
        <v>6.6962369839671423E-2</v>
      </c>
      <c r="V51" s="741">
        <v>7.5070706524686934E-2</v>
      </c>
      <c r="W51" s="741">
        <v>6.3904236202776951E-2</v>
      </c>
      <c r="X51" s="741">
        <v>7.2483896038534376E-2</v>
      </c>
    </row>
    <row r="52" spans="1:24" x14ac:dyDescent="0.25">
      <c r="A52" s="33" t="s">
        <v>573</v>
      </c>
      <c r="B52" s="33" t="s">
        <v>173</v>
      </c>
      <c r="C52" s="33" t="s">
        <v>176</v>
      </c>
      <c r="D52" s="33">
        <v>60</v>
      </c>
      <c r="E52" s="741">
        <v>3.8969849707500819E-3</v>
      </c>
      <c r="F52" s="741">
        <v>2.849529397113441E-3</v>
      </c>
      <c r="G52" s="741">
        <v>3.6250396705351678E-3</v>
      </c>
      <c r="H52" s="741">
        <v>2.8425742207748537E-3</v>
      </c>
      <c r="I52" s="741">
        <v>3.375331578943588E-3</v>
      </c>
      <c r="J52" s="741">
        <v>4.6572896663889538E-3</v>
      </c>
      <c r="K52" s="741">
        <v>3.2679230459956824E-3</v>
      </c>
      <c r="L52" s="741">
        <v>4.2958424227592601E-3</v>
      </c>
      <c r="M52" s="741">
        <v>3.3033716205367832E-3</v>
      </c>
      <c r="N52" s="741">
        <v>3.9447811186790983E-3</v>
      </c>
      <c r="O52" s="741">
        <v>0.10303593298360453</v>
      </c>
      <c r="P52" s="741">
        <v>9.0813432176400644E-2</v>
      </c>
      <c r="Q52" s="741">
        <v>0.10618089171651224</v>
      </c>
      <c r="R52" s="741">
        <v>8.5377951325848689E-2</v>
      </c>
      <c r="S52" s="741">
        <v>9.6192238343445091E-2</v>
      </c>
      <c r="T52" s="741">
        <v>7.0588327592554512E-2</v>
      </c>
      <c r="U52" s="741">
        <v>6.115986051528443E-2</v>
      </c>
      <c r="V52" s="741">
        <v>6.9187968787837673E-2</v>
      </c>
      <c r="W52" s="741">
        <v>5.8366952030070141E-2</v>
      </c>
      <c r="X52" s="741">
        <v>6.6525240886853645E-2</v>
      </c>
    </row>
    <row r="53" spans="1:24" x14ac:dyDescent="0.25">
      <c r="A53" s="33" t="s">
        <v>573</v>
      </c>
      <c r="B53" s="33" t="s">
        <v>173</v>
      </c>
      <c r="C53" s="33" t="s">
        <v>176</v>
      </c>
      <c r="D53" s="33">
        <v>65</v>
      </c>
      <c r="E53" s="741">
        <v>3.5813777721405899E-3</v>
      </c>
      <c r="F53" s="741">
        <v>2.7980597989858296E-3</v>
      </c>
      <c r="G53" s="741">
        <v>3.4927899218175251E-3</v>
      </c>
      <c r="H53" s="741">
        <v>2.8459775185748081E-3</v>
      </c>
      <c r="I53" s="741">
        <v>3.2874717428907326E-3</v>
      </c>
      <c r="J53" s="741">
        <v>4.2801072662117636E-3</v>
      </c>
      <c r="K53" s="741">
        <v>3.2088962164919261E-3</v>
      </c>
      <c r="L53" s="741">
        <v>4.1391202534659718E-3</v>
      </c>
      <c r="M53" s="741">
        <v>3.3073266122082188E-3</v>
      </c>
      <c r="N53" s="741">
        <v>3.8420985186899083E-3</v>
      </c>
      <c r="O53" s="741">
        <v>0.10334678702908685</v>
      </c>
      <c r="P53" s="741">
        <v>9.2938807313647606E-2</v>
      </c>
      <c r="Q53" s="741">
        <v>0.10760816741289882</v>
      </c>
      <c r="R53" s="741">
        <v>8.7381017065427891E-2</v>
      </c>
      <c r="S53" s="741">
        <v>9.7911271381541057E-2</v>
      </c>
      <c r="T53" s="741">
        <v>7.0534440928037789E-2</v>
      </c>
      <c r="U53" s="741">
        <v>6.2504539820152957E-2</v>
      </c>
      <c r="V53" s="741">
        <v>7.0008767564483168E-2</v>
      </c>
      <c r="W53" s="741">
        <v>5.9655352213545121E-2</v>
      </c>
      <c r="X53" s="741">
        <v>6.7628630333914516E-2</v>
      </c>
    </row>
    <row r="54" spans="1:24" x14ac:dyDescent="0.25">
      <c r="A54" s="33" t="s">
        <v>573</v>
      </c>
      <c r="B54" s="33" t="s">
        <v>173</v>
      </c>
      <c r="C54" s="33" t="s">
        <v>176</v>
      </c>
      <c r="D54" s="33">
        <v>70</v>
      </c>
      <c r="E54" s="741">
        <v>3.3711892334073808E-3</v>
      </c>
      <c r="F54" s="741">
        <v>2.9080472957691353E-3</v>
      </c>
      <c r="G54" s="741">
        <v>3.4747357539828385E-3</v>
      </c>
      <c r="H54" s="741">
        <v>2.9608555402049434E-3</v>
      </c>
      <c r="I54" s="741">
        <v>3.3262167461721465E-3</v>
      </c>
      <c r="J54" s="741">
        <v>4.0289107856548607E-3</v>
      </c>
      <c r="K54" s="741">
        <v>3.3350330711857715E-3</v>
      </c>
      <c r="L54" s="741">
        <v>4.1177252158551393E-3</v>
      </c>
      <c r="M54" s="741">
        <v>3.4408270125506086E-3</v>
      </c>
      <c r="N54" s="741">
        <v>3.887380161045033E-3</v>
      </c>
      <c r="O54" s="741">
        <v>0.10233571258727391</v>
      </c>
      <c r="P54" s="741">
        <v>9.5502795184326389E-2</v>
      </c>
      <c r="Q54" s="741">
        <v>0.10863663146300488</v>
      </c>
      <c r="R54" s="741">
        <v>8.9796003160840729E-2</v>
      </c>
      <c r="S54" s="741">
        <v>9.9633173937381539E-2</v>
      </c>
      <c r="T54" s="741">
        <v>7.0103250124083138E-2</v>
      </c>
      <c r="U54" s="741">
        <v>6.3693454091292137E-2</v>
      </c>
      <c r="V54" s="741">
        <v>7.056833004688029E-2</v>
      </c>
      <c r="W54" s="741">
        <v>6.0794370197852318E-2</v>
      </c>
      <c r="X54" s="741">
        <v>6.8518106422172792E-2</v>
      </c>
    </row>
    <row r="55" spans="1:24" x14ac:dyDescent="0.25">
      <c r="A55" s="33" t="s">
        <v>573</v>
      </c>
      <c r="B55" s="33" t="s">
        <v>173</v>
      </c>
      <c r="C55" s="33" t="s">
        <v>176</v>
      </c>
      <c r="D55" s="33">
        <v>75</v>
      </c>
      <c r="E55" s="741">
        <v>3.321656780718362E-3</v>
      </c>
      <c r="F55" s="741">
        <v>3.2332253207811084E-3</v>
      </c>
      <c r="G55" s="741">
        <v>3.6622321424229303E-3</v>
      </c>
      <c r="H55" s="741">
        <v>3.2960689733150376E-3</v>
      </c>
      <c r="I55" s="741">
        <v>3.5844006284699173E-3</v>
      </c>
      <c r="J55" s="741">
        <v>3.9697145142319652E-3</v>
      </c>
      <c r="K55" s="741">
        <v>3.7079566715053375E-3</v>
      </c>
      <c r="L55" s="741">
        <v>4.33991725036498E-3</v>
      </c>
      <c r="M55" s="741">
        <v>3.8303804439669899E-3</v>
      </c>
      <c r="N55" s="741">
        <v>4.1891220433504968E-3</v>
      </c>
      <c r="O55" s="741">
        <v>0.10003270399137634</v>
      </c>
      <c r="P55" s="741">
        <v>9.3945629730311037E-2</v>
      </c>
      <c r="Q55" s="741">
        <v>0.10654527310894213</v>
      </c>
      <c r="R55" s="741">
        <v>8.8334025527627286E-2</v>
      </c>
      <c r="S55" s="741">
        <v>9.7848035845861603E-2</v>
      </c>
      <c r="T55" s="741">
        <v>6.7512890371344614E-2</v>
      </c>
      <c r="U55" s="741">
        <v>6.1352708416278726E-2</v>
      </c>
      <c r="V55" s="741">
        <v>6.7967651346582836E-2</v>
      </c>
      <c r="W55" s="741">
        <v>5.856150283256753E-2</v>
      </c>
      <c r="X55" s="741">
        <v>6.5997164130561128E-2</v>
      </c>
    </row>
    <row r="56" spans="1:24" x14ac:dyDescent="0.25">
      <c r="A56" s="33" t="s">
        <v>573</v>
      </c>
      <c r="B56" s="33" t="s">
        <v>177</v>
      </c>
      <c r="C56" s="111" t="s">
        <v>175</v>
      </c>
      <c r="D56" s="744" t="s">
        <v>574</v>
      </c>
      <c r="E56" s="745">
        <v>0.59071543304312801</v>
      </c>
      <c r="F56" s="745">
        <v>0.49201200334709388</v>
      </c>
      <c r="G56" s="745">
        <v>0.52792890991140995</v>
      </c>
      <c r="H56" s="745">
        <v>0.48251081045823263</v>
      </c>
      <c r="I56" s="745">
        <v>0.50704072211337847</v>
      </c>
      <c r="J56" s="745">
        <v>0.83747959367874159</v>
      </c>
      <c r="K56" s="745">
        <v>0.66983672415339779</v>
      </c>
      <c r="L56" s="745">
        <v>0.73536464918281452</v>
      </c>
      <c r="M56" s="745">
        <v>0.64750564586522996</v>
      </c>
      <c r="N56" s="745">
        <v>0.69402941257059469</v>
      </c>
      <c r="O56" s="745">
        <v>8.3069737969871422</v>
      </c>
      <c r="P56" s="745">
        <v>7.1628846137329729</v>
      </c>
      <c r="Q56" s="745">
        <v>7.7376933125198928</v>
      </c>
      <c r="R56" s="745">
        <v>7.6521447089511696</v>
      </c>
      <c r="S56" s="745">
        <v>7.6499205851675161</v>
      </c>
      <c r="T56" s="745">
        <v>6.4198512689598912</v>
      </c>
      <c r="U56" s="745">
        <v>6.452191449593645</v>
      </c>
      <c r="V56" s="745">
        <v>6.1296225150854058</v>
      </c>
      <c r="W56" s="745">
        <v>7.2177731902916324</v>
      </c>
      <c r="X56" s="745">
        <v>6.6872486084243228</v>
      </c>
    </row>
    <row r="57" spans="1:24" x14ac:dyDescent="0.25">
      <c r="A57" s="33" t="s">
        <v>573</v>
      </c>
      <c r="B57" s="33" t="s">
        <v>177</v>
      </c>
      <c r="C57" s="111" t="s">
        <v>175</v>
      </c>
      <c r="D57" s="33">
        <v>2.5</v>
      </c>
      <c r="E57" s="741">
        <v>2.6903374234062136</v>
      </c>
      <c r="F57" s="741">
        <v>2.2363005316395332</v>
      </c>
      <c r="G57" s="741">
        <v>2.4018228778535984</v>
      </c>
      <c r="H57" s="741">
        <v>2.0742817816369521</v>
      </c>
      <c r="I57" s="741">
        <v>2.4096917575304486</v>
      </c>
      <c r="J57" s="741">
        <v>3.8140093512632869</v>
      </c>
      <c r="K57" s="741">
        <v>3.044556066257738</v>
      </c>
      <c r="L57" s="741">
        <v>3.3456509686675089</v>
      </c>
      <c r="M57" s="741">
        <v>2.7839890301512988</v>
      </c>
      <c r="N57" s="741">
        <v>3.29838302110474</v>
      </c>
      <c r="O57" s="741">
        <v>55.285885613910906</v>
      </c>
      <c r="P57" s="741">
        <v>46.505525419913525</v>
      </c>
      <c r="Q57" s="741">
        <v>51.875317024265691</v>
      </c>
      <c r="R57" s="741">
        <v>42.354730027752161</v>
      </c>
      <c r="S57" s="741">
        <v>48.451850623922581</v>
      </c>
      <c r="T57" s="741">
        <v>42.608679558460643</v>
      </c>
      <c r="U57" s="741">
        <v>39.015110009479351</v>
      </c>
      <c r="V57" s="741">
        <v>38.512877877760921</v>
      </c>
      <c r="W57" s="741">
        <v>36.306256949178746</v>
      </c>
      <c r="X57" s="741">
        <v>39.560677019269555</v>
      </c>
    </row>
    <row r="58" spans="1:24" x14ac:dyDescent="0.25">
      <c r="A58" s="33" t="s">
        <v>573</v>
      </c>
      <c r="B58" s="33" t="s">
        <v>177</v>
      </c>
      <c r="C58" s="111" t="s">
        <v>175</v>
      </c>
      <c r="D58" s="33">
        <v>5</v>
      </c>
      <c r="E58" s="741">
        <v>1.8273561055441858</v>
      </c>
      <c r="F58" s="741">
        <v>1.4804121451418013</v>
      </c>
      <c r="G58" s="741">
        <v>1.5553497882248475</v>
      </c>
      <c r="H58" s="741">
        <v>1.3726091758244892</v>
      </c>
      <c r="I58" s="741">
        <v>1.5864795785719898</v>
      </c>
      <c r="J58" s="741">
        <v>2.5905870445832382</v>
      </c>
      <c r="K58" s="741">
        <v>2.0154705118049012</v>
      </c>
      <c r="L58" s="741">
        <v>2.166545074398468</v>
      </c>
      <c r="M58" s="741">
        <v>1.8422419374308596</v>
      </c>
      <c r="N58" s="741">
        <v>2.1715712347599427</v>
      </c>
      <c r="O58" s="741">
        <v>28.14365786304062</v>
      </c>
      <c r="P58" s="741">
        <v>23.477899560709503</v>
      </c>
      <c r="Q58" s="741">
        <v>27.023583206188999</v>
      </c>
      <c r="R58" s="741">
        <v>21.382418828555426</v>
      </c>
      <c r="S58" s="741">
        <v>24.748118428247988</v>
      </c>
      <c r="T58" s="741">
        <v>21.398418162223031</v>
      </c>
      <c r="U58" s="741">
        <v>19.662074639220148</v>
      </c>
      <c r="V58" s="741">
        <v>19.718734837409457</v>
      </c>
      <c r="W58" s="741">
        <v>18.296906961279525</v>
      </c>
      <c r="X58" s="741">
        <v>20.033761155778606</v>
      </c>
    </row>
    <row r="59" spans="1:24" x14ac:dyDescent="0.25">
      <c r="A59" s="33" t="s">
        <v>573</v>
      </c>
      <c r="B59" s="33" t="s">
        <v>177</v>
      </c>
      <c r="C59" s="111" t="s">
        <v>175</v>
      </c>
      <c r="D59" s="33">
        <v>10</v>
      </c>
      <c r="E59" s="741">
        <v>1.2578627867590604</v>
      </c>
      <c r="F59" s="741">
        <v>1.0389236601565641</v>
      </c>
      <c r="G59" s="741">
        <v>1.0393756484458796</v>
      </c>
      <c r="H59" s="741">
        <v>0.9623761287931959</v>
      </c>
      <c r="I59" s="741">
        <v>1.0948520413296556</v>
      </c>
      <c r="J59" s="741">
        <v>1.78323372732595</v>
      </c>
      <c r="K59" s="741">
        <v>1.4144169297269613</v>
      </c>
      <c r="L59" s="741">
        <v>1.447812066866464</v>
      </c>
      <c r="M59" s="741">
        <v>1.2916492875550223</v>
      </c>
      <c r="N59" s="741">
        <v>1.4986320853935899</v>
      </c>
      <c r="O59" s="741">
        <v>17.06654495301235</v>
      </c>
      <c r="P59" s="741">
        <v>13.146027516599379</v>
      </c>
      <c r="Q59" s="741">
        <v>16.048888411700762</v>
      </c>
      <c r="R59" s="741">
        <v>11.972720209679055</v>
      </c>
      <c r="S59" s="741">
        <v>14.23852185665535</v>
      </c>
      <c r="T59" s="741">
        <v>12.87046616566894</v>
      </c>
      <c r="U59" s="741">
        <v>11.877834032037885</v>
      </c>
      <c r="V59" s="741">
        <v>11.633108912164536</v>
      </c>
      <c r="W59" s="741">
        <v>11.053134185085732</v>
      </c>
      <c r="X59" s="741">
        <v>12.00782218993881</v>
      </c>
    </row>
    <row r="60" spans="1:24" x14ac:dyDescent="0.25">
      <c r="A60" s="33" t="s">
        <v>573</v>
      </c>
      <c r="B60" s="33" t="s">
        <v>177</v>
      </c>
      <c r="C60" s="111" t="s">
        <v>175</v>
      </c>
      <c r="D60" s="33">
        <v>15</v>
      </c>
      <c r="E60" s="741">
        <v>0.79392634103203719</v>
      </c>
      <c r="F60" s="741">
        <v>0.83528010166849487</v>
      </c>
      <c r="G60" s="741">
        <v>0.67721538796410152</v>
      </c>
      <c r="H60" s="741">
        <v>0.77283653036982602</v>
      </c>
      <c r="I60" s="741">
        <v>0.8168334181906024</v>
      </c>
      <c r="J60" s="741">
        <v>1.1255251711425314</v>
      </c>
      <c r="K60" s="741">
        <v>1.1371714421114796</v>
      </c>
      <c r="L60" s="741">
        <v>0.94333613840976371</v>
      </c>
      <c r="M60" s="741">
        <v>1.0372594705777358</v>
      </c>
      <c r="N60" s="741">
        <v>1.1180805466969714</v>
      </c>
      <c r="O60" s="741">
        <v>13.857258102604508</v>
      </c>
      <c r="P60" s="741">
        <v>9.9263279425088005</v>
      </c>
      <c r="Q60" s="741">
        <v>12.879997000434422</v>
      </c>
      <c r="R60" s="741">
        <v>9.0403673005235348</v>
      </c>
      <c r="S60" s="741">
        <v>11.060631970343627</v>
      </c>
      <c r="T60" s="741">
        <v>10.86598410001152</v>
      </c>
      <c r="U60" s="741">
        <v>10.036713886425138</v>
      </c>
      <c r="V60" s="741">
        <v>9.7203885520397701</v>
      </c>
      <c r="W60" s="741">
        <v>9.3398456030606738</v>
      </c>
      <c r="X60" s="741">
        <v>10.11018581087616</v>
      </c>
    </row>
    <row r="61" spans="1:24" x14ac:dyDescent="0.25">
      <c r="A61" s="33" t="s">
        <v>573</v>
      </c>
      <c r="B61" s="33" t="s">
        <v>177</v>
      </c>
      <c r="C61" s="111" t="s">
        <v>175</v>
      </c>
      <c r="D61" s="33">
        <v>20</v>
      </c>
      <c r="E61" s="741">
        <v>0.58974606340042146</v>
      </c>
      <c r="F61" s="741">
        <v>0.69697671152659202</v>
      </c>
      <c r="G61" s="741">
        <v>0.52680822098214553</v>
      </c>
      <c r="H61" s="741">
        <v>0.64402930631434829</v>
      </c>
      <c r="I61" s="741">
        <v>0.66479813077384564</v>
      </c>
      <c r="J61" s="741">
        <v>0.8360650159012778</v>
      </c>
      <c r="K61" s="741">
        <v>0.9488817111548653</v>
      </c>
      <c r="L61" s="741">
        <v>0.73382448434582503</v>
      </c>
      <c r="M61" s="741">
        <v>0.86438136792588793</v>
      </c>
      <c r="N61" s="741">
        <v>0.90997483813193203</v>
      </c>
      <c r="O61" s="741">
        <v>12.094176688996908</v>
      </c>
      <c r="P61" s="741">
        <v>9.1143036309586467</v>
      </c>
      <c r="Q61" s="741">
        <v>11.248469097674443</v>
      </c>
      <c r="R61" s="741">
        <v>8.300819089620239</v>
      </c>
      <c r="S61" s="741">
        <v>9.9277260166528549</v>
      </c>
      <c r="T61" s="741">
        <v>9.5651240342393944</v>
      </c>
      <c r="U61" s="741">
        <v>8.8339565521613235</v>
      </c>
      <c r="V61" s="741">
        <v>8.5951374574012451</v>
      </c>
      <c r="W61" s="741">
        <v>8.2205960099878688</v>
      </c>
      <c r="X61" s="741">
        <v>8.9116407479045154</v>
      </c>
    </row>
    <row r="62" spans="1:24" x14ac:dyDescent="0.25">
      <c r="A62" s="33" t="s">
        <v>573</v>
      </c>
      <c r="B62" s="33" t="s">
        <v>177</v>
      </c>
      <c r="C62" s="111" t="s">
        <v>175</v>
      </c>
      <c r="D62" s="33">
        <v>25</v>
      </c>
      <c r="E62" s="741">
        <v>0.54967445695171746</v>
      </c>
      <c r="F62" s="741">
        <v>0.60272587356236562</v>
      </c>
      <c r="G62" s="741">
        <v>0.49989979257279238</v>
      </c>
      <c r="H62" s="741">
        <v>0.5563393262849643</v>
      </c>
      <c r="I62" s="741">
        <v>0.59100785893459462</v>
      </c>
      <c r="J62" s="741">
        <v>0.77925672100643206</v>
      </c>
      <c r="K62" s="741">
        <v>0.82056623816095475</v>
      </c>
      <c r="L62" s="741">
        <v>0.69634203282819884</v>
      </c>
      <c r="M62" s="741">
        <v>0.74668861054972568</v>
      </c>
      <c r="N62" s="741">
        <v>0.80897080763853657</v>
      </c>
      <c r="O62" s="741">
        <v>10.832777667857551</v>
      </c>
      <c r="P62" s="741">
        <v>8.5744040541763589</v>
      </c>
      <c r="Q62" s="741">
        <v>10.164699782550192</v>
      </c>
      <c r="R62" s="741">
        <v>7.8091039388369632</v>
      </c>
      <c r="S62" s="741">
        <v>9.1692851355910889</v>
      </c>
      <c r="T62" s="741">
        <v>8.6678172735943946</v>
      </c>
      <c r="U62" s="741">
        <v>8.0031544344292929</v>
      </c>
      <c r="V62" s="741">
        <v>7.855605962125197</v>
      </c>
      <c r="W62" s="741">
        <v>7.4474837801725915</v>
      </c>
      <c r="X62" s="741">
        <v>8.0961588719514967</v>
      </c>
    </row>
    <row r="63" spans="1:24" x14ac:dyDescent="0.25">
      <c r="A63" s="33" t="s">
        <v>573</v>
      </c>
      <c r="B63" s="33" t="s">
        <v>177</v>
      </c>
      <c r="C63" s="111" t="s">
        <v>175</v>
      </c>
      <c r="D63" s="33">
        <v>30</v>
      </c>
      <c r="E63" s="741">
        <v>0.52753250627935089</v>
      </c>
      <c r="F63" s="741">
        <v>0.50556644219511759</v>
      </c>
      <c r="G63" s="741">
        <v>0.49145590950391704</v>
      </c>
      <c r="H63" s="741">
        <v>0.4661774737712237</v>
      </c>
      <c r="I63" s="741">
        <v>0.52231248072700509</v>
      </c>
      <c r="J63" s="741">
        <v>0.74786675252705259</v>
      </c>
      <c r="K63" s="741">
        <v>0.68829093259348795</v>
      </c>
      <c r="L63" s="741">
        <v>0.6845800141426478</v>
      </c>
      <c r="M63" s="741">
        <v>0.62567823936559219</v>
      </c>
      <c r="N63" s="741">
        <v>0.71494066108547949</v>
      </c>
      <c r="O63" s="741">
        <v>10.379074699163219</v>
      </c>
      <c r="P63" s="741">
        <v>8.3668971869704851</v>
      </c>
      <c r="Q63" s="741">
        <v>9.8152968128352533</v>
      </c>
      <c r="R63" s="741">
        <v>7.6201256142257705</v>
      </c>
      <c r="S63" s="741">
        <v>8.9016850652168777</v>
      </c>
      <c r="T63" s="741">
        <v>8.3489013053585985</v>
      </c>
      <c r="U63" s="741">
        <v>7.7067734550871911</v>
      </c>
      <c r="V63" s="741">
        <v>7.6284043653635294</v>
      </c>
      <c r="W63" s="741">
        <v>7.1716751754107824</v>
      </c>
      <c r="X63" s="741">
        <v>7.8172784341606976</v>
      </c>
    </row>
    <row r="64" spans="1:24" x14ac:dyDescent="0.25">
      <c r="A64" s="33" t="s">
        <v>573</v>
      </c>
      <c r="B64" s="33" t="s">
        <v>177</v>
      </c>
      <c r="C64" s="111" t="s">
        <v>175</v>
      </c>
      <c r="D64" s="33">
        <v>35</v>
      </c>
      <c r="E64" s="741">
        <v>0.53492427068698634</v>
      </c>
      <c r="F64" s="741">
        <v>0.49013555742645037</v>
      </c>
      <c r="G64" s="741">
        <v>0.51150628074212756</v>
      </c>
      <c r="H64" s="741">
        <v>0.43336521816717527</v>
      </c>
      <c r="I64" s="741">
        <v>0.5094038216533805</v>
      </c>
      <c r="J64" s="741">
        <v>0.75834583159266766</v>
      </c>
      <c r="K64" s="741">
        <v>0.66728293605389644</v>
      </c>
      <c r="L64" s="741">
        <v>0.71250944414924777</v>
      </c>
      <c r="M64" s="741">
        <v>0.5816394012169479</v>
      </c>
      <c r="N64" s="741">
        <v>0.6972713049196485</v>
      </c>
      <c r="O64" s="741">
        <v>8.76619291480554</v>
      </c>
      <c r="P64" s="741">
        <v>7.4058697980028825</v>
      </c>
      <c r="Q64" s="741">
        <v>8.542357683020569</v>
      </c>
      <c r="R64" s="741">
        <v>6.7448694639648981</v>
      </c>
      <c r="S64" s="741">
        <v>7.8055506262068723</v>
      </c>
      <c r="T64" s="741">
        <v>7.2255811176122497</v>
      </c>
      <c r="U64" s="741">
        <v>6.6649191663047409</v>
      </c>
      <c r="V64" s="741">
        <v>6.7616004686310713</v>
      </c>
      <c r="W64" s="741">
        <v>6.2021611595955273</v>
      </c>
      <c r="X64" s="741">
        <v>6.8145526412091941</v>
      </c>
    </row>
    <row r="65" spans="1:24" x14ac:dyDescent="0.25">
      <c r="A65" s="33" t="s">
        <v>573</v>
      </c>
      <c r="B65" s="33" t="s">
        <v>177</v>
      </c>
      <c r="C65" s="111" t="s">
        <v>175</v>
      </c>
      <c r="D65" s="33">
        <v>40</v>
      </c>
      <c r="E65" s="741">
        <v>0.54187895798354679</v>
      </c>
      <c r="F65" s="741">
        <v>0.49237365491883311</v>
      </c>
      <c r="G65" s="741">
        <v>0.52528414474530183</v>
      </c>
      <c r="H65" s="741">
        <v>0.41436124556532145</v>
      </c>
      <c r="I65" s="741">
        <v>0.50491689276362395</v>
      </c>
      <c r="J65" s="741">
        <v>0.76820527976203901</v>
      </c>
      <c r="K65" s="741">
        <v>0.67032993854792833</v>
      </c>
      <c r="L65" s="741">
        <v>0.73170150217876517</v>
      </c>
      <c r="M65" s="741">
        <v>0.55613329509326359</v>
      </c>
      <c r="N65" s="741">
        <v>0.6911296023468495</v>
      </c>
      <c r="O65" s="741">
        <v>8.3378581499186897</v>
      </c>
      <c r="P65" s="741">
        <v>7.1137217732685087</v>
      </c>
      <c r="Q65" s="741">
        <v>8.2862249469709113</v>
      </c>
      <c r="R65" s="741">
        <v>6.4787900207567821</v>
      </c>
      <c r="S65" s="741">
        <v>7.5189827040758459</v>
      </c>
      <c r="T65" s="741">
        <v>6.9513172760010971</v>
      </c>
      <c r="U65" s="741">
        <v>6.4093661764756726</v>
      </c>
      <c r="V65" s="741">
        <v>6.5878194852279943</v>
      </c>
      <c r="W65" s="741">
        <v>5.9643432690753198</v>
      </c>
      <c r="X65" s="741">
        <v>6.5813608258775025</v>
      </c>
    </row>
    <row r="66" spans="1:24" x14ac:dyDescent="0.25">
      <c r="A66" s="33" t="s">
        <v>573</v>
      </c>
      <c r="B66" s="33" t="s">
        <v>177</v>
      </c>
      <c r="C66" s="111" t="s">
        <v>175</v>
      </c>
      <c r="D66" s="33">
        <v>45</v>
      </c>
      <c r="E66" s="741">
        <v>0.54627084769724377</v>
      </c>
      <c r="F66" s="741">
        <v>0.49468170591285032</v>
      </c>
      <c r="G66" s="741">
        <v>0.5314060800168483</v>
      </c>
      <c r="H66" s="741">
        <v>0.40704371602260592</v>
      </c>
      <c r="I66" s="741">
        <v>0.50382511033617883</v>
      </c>
      <c r="J66" s="741">
        <v>0.77443152792408154</v>
      </c>
      <c r="K66" s="741">
        <v>0.67347217750715949</v>
      </c>
      <c r="L66" s="741">
        <v>0.74022913294630666</v>
      </c>
      <c r="M66" s="741">
        <v>0.54631210196749103</v>
      </c>
      <c r="N66" s="741">
        <v>0.6896351719450472</v>
      </c>
      <c r="O66" s="741">
        <v>7.9972199912266344</v>
      </c>
      <c r="P66" s="741">
        <v>6.8872998782437831</v>
      </c>
      <c r="Q66" s="741">
        <v>8.0734145513133786</v>
      </c>
      <c r="R66" s="741">
        <v>6.2725791295684568</v>
      </c>
      <c r="S66" s="741">
        <v>7.2916720140239324</v>
      </c>
      <c r="T66" s="741">
        <v>6.7351524230591204</v>
      </c>
      <c r="U66" s="741">
        <v>6.2081689637130761</v>
      </c>
      <c r="V66" s="741">
        <v>6.4438848480871744</v>
      </c>
      <c r="W66" s="741">
        <v>5.7771151512142076</v>
      </c>
      <c r="X66" s="741">
        <v>6.3954316024494053</v>
      </c>
    </row>
    <row r="67" spans="1:24" x14ac:dyDescent="0.25">
      <c r="A67" s="33" t="s">
        <v>573</v>
      </c>
      <c r="B67" s="33" t="s">
        <v>177</v>
      </c>
      <c r="C67" s="111" t="s">
        <v>175</v>
      </c>
      <c r="D67" s="33">
        <v>50</v>
      </c>
      <c r="E67" s="741">
        <v>0.54564058798705106</v>
      </c>
      <c r="F67" s="741">
        <v>0.49531185949630474</v>
      </c>
      <c r="G67" s="741">
        <v>0.52966663619314724</v>
      </c>
      <c r="H67" s="741">
        <v>0.41842733242704894</v>
      </c>
      <c r="I67" s="741">
        <v>0.50917306752547475</v>
      </c>
      <c r="J67" s="741">
        <v>0.77353802794616566</v>
      </c>
      <c r="K67" s="741">
        <v>0.67433008452280263</v>
      </c>
      <c r="L67" s="741">
        <v>0.73780615164848973</v>
      </c>
      <c r="M67" s="741">
        <v>0.56159057737713858</v>
      </c>
      <c r="N67" s="741">
        <v>0.69695544896207395</v>
      </c>
      <c r="O67" s="741">
        <v>7.6654622503206902</v>
      </c>
      <c r="P67" s="741">
        <v>7.083611728626237</v>
      </c>
      <c r="Q67" s="741">
        <v>7.8421537323068176</v>
      </c>
      <c r="R67" s="741">
        <v>6.4513730833289067</v>
      </c>
      <c r="S67" s="741">
        <v>7.3138673336248736</v>
      </c>
      <c r="T67" s="741">
        <v>6.4584570113045556</v>
      </c>
      <c r="U67" s="741">
        <v>5.9512919001590117</v>
      </c>
      <c r="V67" s="741">
        <v>6.2382188243260144</v>
      </c>
      <c r="W67" s="741">
        <v>5.5380722773303717</v>
      </c>
      <c r="X67" s="741">
        <v>6.1508482819333476</v>
      </c>
    </row>
    <row r="68" spans="1:24" x14ac:dyDescent="0.25">
      <c r="A68" s="33" t="s">
        <v>573</v>
      </c>
      <c r="B68" s="33" t="s">
        <v>177</v>
      </c>
      <c r="C68" s="111" t="s">
        <v>175</v>
      </c>
      <c r="D68" s="33">
        <v>55</v>
      </c>
      <c r="E68" s="741">
        <v>0.54417009179881404</v>
      </c>
      <c r="F68" s="741">
        <v>0.48737854881779868</v>
      </c>
      <c r="G68" s="741">
        <v>0.52591611407474714</v>
      </c>
      <c r="H68" s="741">
        <v>0.42714520200681816</v>
      </c>
      <c r="I68" s="741">
        <v>0.51082385135957686</v>
      </c>
      <c r="J68" s="741">
        <v>0.77145335032761175</v>
      </c>
      <c r="K68" s="741">
        <v>0.66352947485070057</v>
      </c>
      <c r="L68" s="741">
        <v>0.73258181222107621</v>
      </c>
      <c r="M68" s="741">
        <v>0.57329123130527249</v>
      </c>
      <c r="N68" s="741">
        <v>0.69921503978023591</v>
      </c>
      <c r="O68" s="741">
        <v>7.393599266273438</v>
      </c>
      <c r="P68" s="741">
        <v>7.2442337587644854</v>
      </c>
      <c r="Q68" s="741">
        <v>7.6391641268629158</v>
      </c>
      <c r="R68" s="741">
        <v>6.5976539669886201</v>
      </c>
      <c r="S68" s="741">
        <v>7.3274904300769261</v>
      </c>
      <c r="T68" s="741">
        <v>6.192235994868434</v>
      </c>
      <c r="U68" s="741">
        <v>5.7044594072682901</v>
      </c>
      <c r="V68" s="741">
        <v>6.0300150514716897</v>
      </c>
      <c r="W68" s="741">
        <v>5.3083769614010459</v>
      </c>
      <c r="X68" s="741">
        <v>5.9123507278866132</v>
      </c>
    </row>
    <row r="69" spans="1:24" x14ac:dyDescent="0.25">
      <c r="A69" s="33" t="s">
        <v>573</v>
      </c>
      <c r="B69" s="33" t="s">
        <v>177</v>
      </c>
      <c r="C69" s="111" t="s">
        <v>175</v>
      </c>
      <c r="D69" s="33">
        <v>60</v>
      </c>
      <c r="E69" s="741">
        <v>0.54892071695353406</v>
      </c>
      <c r="F69" s="741">
        <v>0.47807374856767637</v>
      </c>
      <c r="G69" s="741">
        <v>0.52532097181106119</v>
      </c>
      <c r="H69" s="741">
        <v>0.43142711291816743</v>
      </c>
      <c r="I69" s="741">
        <v>0.51130505534138959</v>
      </c>
      <c r="J69" s="741">
        <v>0.77818816678848113</v>
      </c>
      <c r="K69" s="741">
        <v>0.65086168461140892</v>
      </c>
      <c r="L69" s="741">
        <v>0.73175280092746442</v>
      </c>
      <c r="M69" s="741">
        <v>0.5790381809775943</v>
      </c>
      <c r="N69" s="741">
        <v>0.69987371118015229</v>
      </c>
      <c r="O69" s="741">
        <v>7.2852822247965241</v>
      </c>
      <c r="P69" s="741">
        <v>7.1679239344944881</v>
      </c>
      <c r="Q69" s="741">
        <v>7.5526020239878617</v>
      </c>
      <c r="R69" s="741">
        <v>6.5281610298329955</v>
      </c>
      <c r="S69" s="741">
        <v>7.2464285785818587</v>
      </c>
      <c r="T69" s="741">
        <v>6.0418453479498808</v>
      </c>
      <c r="U69" s="741">
        <v>5.5653535392049669</v>
      </c>
      <c r="V69" s="741">
        <v>5.9014971212878269</v>
      </c>
      <c r="W69" s="741">
        <v>5.1789307928747599</v>
      </c>
      <c r="X69" s="741">
        <v>5.7742671596750075</v>
      </c>
    </row>
    <row r="70" spans="1:24" x14ac:dyDescent="0.25">
      <c r="A70" s="33" t="s">
        <v>573</v>
      </c>
      <c r="B70" s="33" t="s">
        <v>177</v>
      </c>
      <c r="C70" s="111" t="s">
        <v>175</v>
      </c>
      <c r="D70" s="33">
        <v>65</v>
      </c>
      <c r="E70" s="741">
        <v>0.57490543919174653</v>
      </c>
      <c r="F70" s="741">
        <v>0.47982535579356234</v>
      </c>
      <c r="G70" s="741">
        <v>0.54132553684330853</v>
      </c>
      <c r="H70" s="741">
        <v>0.44190479121611959</v>
      </c>
      <c r="I70" s="741">
        <v>0.52358467023224109</v>
      </c>
      <c r="J70" s="741">
        <v>0.81502591537134983</v>
      </c>
      <c r="K70" s="741">
        <v>0.65324636696059302</v>
      </c>
      <c r="L70" s="741">
        <v>0.75404657162844635</v>
      </c>
      <c r="M70" s="741">
        <v>0.59310075516649419</v>
      </c>
      <c r="N70" s="741">
        <v>0.71668203246652229</v>
      </c>
      <c r="O70" s="741">
        <v>8.0323974529654301</v>
      </c>
      <c r="P70" s="741">
        <v>7.9081486260150777</v>
      </c>
      <c r="Q70" s="741">
        <v>8.1674002979175579</v>
      </c>
      <c r="R70" s="741">
        <v>7.2023136985308573</v>
      </c>
      <c r="S70" s="741">
        <v>7.9403859728483619</v>
      </c>
      <c r="T70" s="741">
        <v>6.3231380113141729</v>
      </c>
      <c r="U70" s="741">
        <v>5.8264690187109736</v>
      </c>
      <c r="V70" s="741">
        <v>6.1117606150663999</v>
      </c>
      <c r="W70" s="741">
        <v>5.4219173106793574</v>
      </c>
      <c r="X70" s="741">
        <v>6.0232811872939722</v>
      </c>
    </row>
    <row r="71" spans="1:24" x14ac:dyDescent="0.25">
      <c r="A71" s="33" t="s">
        <v>573</v>
      </c>
      <c r="B71" s="33" t="s">
        <v>177</v>
      </c>
      <c r="C71" s="111" t="s">
        <v>175</v>
      </c>
      <c r="D71" s="33">
        <v>70</v>
      </c>
      <c r="E71" s="741">
        <v>0.61850124065168099</v>
      </c>
      <c r="F71" s="741">
        <v>0.51137666613437183</v>
      </c>
      <c r="G71" s="741">
        <v>0.57124613610557795</v>
      </c>
      <c r="H71" s="741">
        <v>0.47097885769709524</v>
      </c>
      <c r="I71" s="741">
        <v>0.55653717636514999</v>
      </c>
      <c r="J71" s="741">
        <v>0.87683035409989019</v>
      </c>
      <c r="K71" s="741">
        <v>0.69620111831776699</v>
      </c>
      <c r="L71" s="741">
        <v>0.79572486640527929</v>
      </c>
      <c r="M71" s="741">
        <v>0.63212239767499145</v>
      </c>
      <c r="N71" s="741">
        <v>0.7617873810622392</v>
      </c>
      <c r="O71" s="741">
        <v>8.7398376918139302</v>
      </c>
      <c r="P71" s="741">
        <v>8.6089736953575837</v>
      </c>
      <c r="Q71" s="741">
        <v>8.7524866324153905</v>
      </c>
      <c r="R71" s="741">
        <v>7.840590955836662</v>
      </c>
      <c r="S71" s="741">
        <v>8.5984010981063967</v>
      </c>
      <c r="T71" s="741">
        <v>6.5740619853126949</v>
      </c>
      <c r="U71" s="741">
        <v>6.0594491467666218</v>
      </c>
      <c r="V71" s="741">
        <v>6.2971382766433113</v>
      </c>
      <c r="W71" s="741">
        <v>5.6387224938063234</v>
      </c>
      <c r="X71" s="741">
        <v>6.2447317955005568</v>
      </c>
    </row>
    <row r="72" spans="1:24" x14ac:dyDescent="0.25">
      <c r="A72" s="33" t="s">
        <v>573</v>
      </c>
      <c r="B72" s="33" t="s">
        <v>177</v>
      </c>
      <c r="C72" s="111" t="s">
        <v>175</v>
      </c>
      <c r="D72" s="33">
        <v>75</v>
      </c>
      <c r="E72" s="741">
        <v>0.67108737962349396</v>
      </c>
      <c r="F72" s="741">
        <v>0.5540560283469822</v>
      </c>
      <c r="G72" s="741">
        <v>0.60818320128169101</v>
      </c>
      <c r="H72" s="741">
        <v>0.51029714382396352</v>
      </c>
      <c r="I72" s="741">
        <v>0.59961454669871561</v>
      </c>
      <c r="J72" s="741">
        <v>0.95138012025204532</v>
      </c>
      <c r="K72" s="741">
        <v>0.75430588075466065</v>
      </c>
      <c r="L72" s="741">
        <v>0.84717684024801099</v>
      </c>
      <c r="M72" s="741">
        <v>0.68489327877252859</v>
      </c>
      <c r="N72" s="741">
        <v>0.82075163093280723</v>
      </c>
      <c r="O72" s="741">
        <v>8.827920592574916</v>
      </c>
      <c r="P72" s="741">
        <v>8.6965796639949371</v>
      </c>
      <c r="Q72" s="741">
        <v>8.8147687296368709</v>
      </c>
      <c r="R72" s="741">
        <v>7.9203693231848655</v>
      </c>
      <c r="S72" s="741">
        <v>8.677077011072905</v>
      </c>
      <c r="T72" s="741">
        <v>6.3860362132193842</v>
      </c>
      <c r="U72" s="741">
        <v>5.8856898057289353</v>
      </c>
      <c r="V72" s="741">
        <v>6.1316190977327958</v>
      </c>
      <c r="W72" s="741">
        <v>5.4770338571718558</v>
      </c>
      <c r="X72" s="741">
        <v>6.0706121271833258</v>
      </c>
    </row>
    <row r="73" spans="1:24" x14ac:dyDescent="0.25">
      <c r="A73" s="33" t="s">
        <v>573</v>
      </c>
      <c r="B73" s="33" t="s">
        <v>177</v>
      </c>
      <c r="C73" s="111" t="s">
        <v>178</v>
      </c>
      <c r="D73" s="744" t="s">
        <v>574</v>
      </c>
      <c r="E73" s="745">
        <v>0.1551094580391664</v>
      </c>
      <c r="F73" s="745">
        <v>0.16672440908279582</v>
      </c>
      <c r="G73" s="745">
        <v>0.15657853778839284</v>
      </c>
      <c r="H73" s="745">
        <v>0.19723025560963062</v>
      </c>
      <c r="I73" s="745">
        <v>0.17607364566569073</v>
      </c>
      <c r="J73" s="745">
        <v>0.21167353817866089</v>
      </c>
      <c r="K73" s="745">
        <v>0.21721372894039406</v>
      </c>
      <c r="L73" s="745">
        <v>0.20855938687976702</v>
      </c>
      <c r="M73" s="745">
        <v>0.25366236014089111</v>
      </c>
      <c r="N73" s="745">
        <v>0.23014103518835721</v>
      </c>
      <c r="O73" s="745">
        <v>0.66447334837346428</v>
      </c>
      <c r="P73" s="745">
        <v>0.77712339226331784</v>
      </c>
      <c r="Q73" s="745">
        <v>0.74749616048867085</v>
      </c>
      <c r="R73" s="745">
        <v>0.8935918174091565</v>
      </c>
      <c r="S73" s="745">
        <v>0.80999255544259674</v>
      </c>
      <c r="T73" s="745">
        <v>0.46579994554240006</v>
      </c>
      <c r="U73" s="745">
        <v>0.55829398430603872</v>
      </c>
      <c r="V73" s="745">
        <v>0.49404328403186426</v>
      </c>
      <c r="W73" s="745">
        <v>0.66241542168181988</v>
      </c>
      <c r="X73" s="745">
        <v>0.57671390923102961</v>
      </c>
    </row>
    <row r="74" spans="1:24" x14ac:dyDescent="0.25">
      <c r="A74" s="33" t="s">
        <v>573</v>
      </c>
      <c r="B74" s="33" t="s">
        <v>177</v>
      </c>
      <c r="C74" s="33" t="s">
        <v>178</v>
      </c>
      <c r="D74" s="33">
        <v>2.5</v>
      </c>
      <c r="E74" s="742">
        <v>1.9796318090096556</v>
      </c>
      <c r="F74" s="742">
        <v>1.5928419334668527</v>
      </c>
      <c r="G74" s="742">
        <v>1.6549154392106875</v>
      </c>
      <c r="H74" s="742">
        <v>1.4940581197895573</v>
      </c>
      <c r="I74" s="742">
        <v>1.6155958825627879</v>
      </c>
      <c r="J74" s="742">
        <v>2.7014866787390845</v>
      </c>
      <c r="K74" s="742">
        <v>2.0751434418099062</v>
      </c>
      <c r="L74" s="742">
        <v>2.2048551261466565</v>
      </c>
      <c r="M74" s="742">
        <v>1.9217713355276287</v>
      </c>
      <c r="N74" s="742">
        <v>2.111922148521558</v>
      </c>
      <c r="O74" s="742">
        <v>9.3193948827853994</v>
      </c>
      <c r="P74" s="742">
        <v>8.2535515083638114</v>
      </c>
      <c r="Q74" s="742">
        <v>8.731600636749981</v>
      </c>
      <c r="R74" s="742">
        <v>7.806817440320982</v>
      </c>
      <c r="S74" s="742">
        <v>8.2036717008795268</v>
      </c>
      <c r="T74" s="742">
        <v>7.6283838974474705</v>
      </c>
      <c r="U74" s="742">
        <v>6.1351033220312585</v>
      </c>
      <c r="V74" s="742">
        <v>6.2020056229187812</v>
      </c>
      <c r="W74" s="742">
        <v>5.7249283980254733</v>
      </c>
      <c r="X74" s="742">
        <v>6.0077993640669378</v>
      </c>
    </row>
    <row r="75" spans="1:24" s="125" customFormat="1" x14ac:dyDescent="0.25">
      <c r="A75" s="33" t="s">
        <v>573</v>
      </c>
      <c r="B75" s="33" t="s">
        <v>177</v>
      </c>
      <c r="C75" s="33" t="s">
        <v>178</v>
      </c>
      <c r="D75" s="33">
        <v>5</v>
      </c>
      <c r="E75" s="742">
        <v>1.0477145307283218</v>
      </c>
      <c r="F75" s="742">
        <v>0.84377179036130801</v>
      </c>
      <c r="G75" s="742">
        <v>0.87292728144129716</v>
      </c>
      <c r="H75" s="742">
        <v>0.79146024657005554</v>
      </c>
      <c r="I75" s="742">
        <v>0.85462316126897708</v>
      </c>
      <c r="J75" s="742">
        <v>1.4297541770153117</v>
      </c>
      <c r="K75" s="742">
        <v>1.0992600460621342</v>
      </c>
      <c r="L75" s="742">
        <v>1.1630069704087629</v>
      </c>
      <c r="M75" s="742">
        <v>1.0180364437778366</v>
      </c>
      <c r="N75" s="742">
        <v>1.1171714426880008</v>
      </c>
      <c r="O75" s="742">
        <v>4.6924867968557464</v>
      </c>
      <c r="P75" s="742">
        <v>4.1339640751801063</v>
      </c>
      <c r="Q75" s="742">
        <v>4.4750305496630336</v>
      </c>
      <c r="R75" s="742">
        <v>3.9102103743325065</v>
      </c>
      <c r="S75" s="742">
        <v>4.1435054624587337</v>
      </c>
      <c r="T75" s="742">
        <v>3.8291387877377527</v>
      </c>
      <c r="U75" s="742">
        <v>3.0854538876556874</v>
      </c>
      <c r="V75" s="742">
        <v>3.1656043015343487</v>
      </c>
      <c r="W75" s="742">
        <v>2.879168146549508</v>
      </c>
      <c r="X75" s="742">
        <v>3.0353004051490649</v>
      </c>
    </row>
    <row r="76" spans="1:24" x14ac:dyDescent="0.25">
      <c r="A76" s="33" t="s">
        <v>573</v>
      </c>
      <c r="B76" s="33" t="s">
        <v>177</v>
      </c>
      <c r="C76" s="33" t="s">
        <v>178</v>
      </c>
      <c r="D76" s="33">
        <v>10</v>
      </c>
      <c r="E76" s="742">
        <v>0.58129952342510893</v>
      </c>
      <c r="F76" s="742">
        <v>0.46934383859362377</v>
      </c>
      <c r="G76" s="742">
        <v>0.4804804788508662</v>
      </c>
      <c r="H76" s="742">
        <v>0.44026309876157893</v>
      </c>
      <c r="I76" s="742">
        <v>0.47372825808751429</v>
      </c>
      <c r="J76" s="742">
        <v>0.79326514745987831</v>
      </c>
      <c r="K76" s="742">
        <v>0.61145790310254533</v>
      </c>
      <c r="L76" s="742">
        <v>0.6401474188391213</v>
      </c>
      <c r="M76" s="742">
        <v>0.56629992641099225</v>
      </c>
      <c r="N76" s="742">
        <v>0.61926203912362099</v>
      </c>
      <c r="O76" s="742">
        <v>2.5352812048363202</v>
      </c>
      <c r="P76" s="742">
        <v>2.1119033076074563</v>
      </c>
      <c r="Q76" s="742">
        <v>2.4125428416273724</v>
      </c>
      <c r="R76" s="742">
        <v>1.9976011300743193</v>
      </c>
      <c r="S76" s="742">
        <v>2.1663956818309864</v>
      </c>
      <c r="T76" s="742">
        <v>2.0450419492515901</v>
      </c>
      <c r="U76" s="742">
        <v>1.6539623460462429</v>
      </c>
      <c r="V76" s="742">
        <v>1.6890785853011019</v>
      </c>
      <c r="W76" s="742">
        <v>1.5433860974584273</v>
      </c>
      <c r="X76" s="742">
        <v>1.6242890379053951</v>
      </c>
    </row>
    <row r="77" spans="1:24" x14ac:dyDescent="0.25">
      <c r="A77" s="33" t="s">
        <v>573</v>
      </c>
      <c r="B77" s="33" t="s">
        <v>177</v>
      </c>
      <c r="C77" s="33" t="s">
        <v>178</v>
      </c>
      <c r="D77" s="33">
        <v>15</v>
      </c>
      <c r="E77" s="742">
        <v>0.42616152348941466</v>
      </c>
      <c r="F77" s="742">
        <v>0.34462959342720811</v>
      </c>
      <c r="G77" s="742">
        <v>0.35198426115106984</v>
      </c>
      <c r="H77" s="742">
        <v>0.32328824160570313</v>
      </c>
      <c r="I77" s="742">
        <v>0.34756322988322269</v>
      </c>
      <c r="J77" s="742">
        <v>0.58155747622268672</v>
      </c>
      <c r="K77" s="742">
        <v>0.44898104804256012</v>
      </c>
      <c r="L77" s="742">
        <v>0.46895103165635371</v>
      </c>
      <c r="M77" s="742">
        <v>0.41583795677137442</v>
      </c>
      <c r="N77" s="742">
        <v>0.45433792641121123</v>
      </c>
      <c r="O77" s="742">
        <v>1.8339465197835902</v>
      </c>
      <c r="P77" s="742">
        <v>1.4472315505890521</v>
      </c>
      <c r="Q77" s="742">
        <v>1.7445967220087952</v>
      </c>
      <c r="R77" s="742">
        <v>1.3689067520473321</v>
      </c>
      <c r="S77" s="742">
        <v>1.5202328050359977</v>
      </c>
      <c r="T77" s="742">
        <v>1.4715783754734106</v>
      </c>
      <c r="U77" s="742">
        <v>1.1907514413073814</v>
      </c>
      <c r="V77" s="742">
        <v>1.2264332702116794</v>
      </c>
      <c r="W77" s="742">
        <v>1.1111501507856258</v>
      </c>
      <c r="X77" s="742">
        <v>1.1725400432952884</v>
      </c>
    </row>
    <row r="78" spans="1:24" x14ac:dyDescent="0.25">
      <c r="A78" s="33" t="s">
        <v>573</v>
      </c>
      <c r="B78" s="33" t="s">
        <v>177</v>
      </c>
      <c r="C78" s="33" t="s">
        <v>178</v>
      </c>
      <c r="D78" s="33">
        <v>20</v>
      </c>
      <c r="E78" s="742">
        <v>0.32979661282895517</v>
      </c>
      <c r="F78" s="742">
        <v>0.280000571473416</v>
      </c>
      <c r="G78" s="742">
        <v>0.27459972345244288</v>
      </c>
      <c r="H78" s="742">
        <v>0.26266989276291203</v>
      </c>
      <c r="I78" s="742">
        <v>0.27798610385228917</v>
      </c>
      <c r="J78" s="742">
        <v>0.45005397074135844</v>
      </c>
      <c r="K78" s="742">
        <v>0.36478280574359129</v>
      </c>
      <c r="L78" s="742">
        <v>0.36585108431965785</v>
      </c>
      <c r="M78" s="742">
        <v>0.33786602002402816</v>
      </c>
      <c r="N78" s="742">
        <v>0.36338605219492265</v>
      </c>
      <c r="O78" s="742">
        <v>1.4621101510660595</v>
      </c>
      <c r="P78" s="742">
        <v>1.1877085021464038</v>
      </c>
      <c r="Q78" s="742">
        <v>1.3974877284903615</v>
      </c>
      <c r="R78" s="742">
        <v>1.1234350528272918</v>
      </c>
      <c r="S78" s="742">
        <v>1.2338280852625028</v>
      </c>
      <c r="T78" s="742">
        <v>1.1645314950769043</v>
      </c>
      <c r="U78" s="742">
        <v>0.94179515310494755</v>
      </c>
      <c r="V78" s="742">
        <v>0.98760579211047517</v>
      </c>
      <c r="W78" s="742">
        <v>0.87884303364920224</v>
      </c>
      <c r="X78" s="742">
        <v>0.93281335109767416</v>
      </c>
    </row>
    <row r="79" spans="1:24" x14ac:dyDescent="0.25">
      <c r="A79" s="33" t="s">
        <v>573</v>
      </c>
      <c r="B79" s="33" t="s">
        <v>177</v>
      </c>
      <c r="C79" s="33" t="s">
        <v>178</v>
      </c>
      <c r="D79" s="33">
        <v>25</v>
      </c>
      <c r="E79" s="742">
        <v>0.27679008042951547</v>
      </c>
      <c r="F79" s="742">
        <v>0.23654393450637351</v>
      </c>
      <c r="G79" s="742">
        <v>0.23155610301798221</v>
      </c>
      <c r="H79" s="742">
        <v>0.22190909893917549</v>
      </c>
      <c r="I79" s="742">
        <v>0.23461739060560199</v>
      </c>
      <c r="J79" s="742">
        <v>0.37771908477340943</v>
      </c>
      <c r="K79" s="742">
        <v>0.30816780000413518</v>
      </c>
      <c r="L79" s="742">
        <v>0.30850377525829786</v>
      </c>
      <c r="M79" s="742">
        <v>0.28543638281898964</v>
      </c>
      <c r="N79" s="742">
        <v>0.30669406192241139</v>
      </c>
      <c r="O79" s="742">
        <v>1.2015534662728813</v>
      </c>
      <c r="P79" s="742">
        <v>1.0243662862749796</v>
      </c>
      <c r="Q79" s="742">
        <v>1.1577413589398948</v>
      </c>
      <c r="R79" s="742">
        <v>0.9689369606740349</v>
      </c>
      <c r="S79" s="742">
        <v>1.0450102995257011</v>
      </c>
      <c r="T79" s="742">
        <v>0.97406908701658168</v>
      </c>
      <c r="U79" s="742">
        <v>0.78735591362746382</v>
      </c>
      <c r="V79" s="742">
        <v>0.83973000442138845</v>
      </c>
      <c r="W79" s="742">
        <v>0.73473176527082185</v>
      </c>
      <c r="X79" s="742">
        <v>0.78418597561724335</v>
      </c>
    </row>
    <row r="80" spans="1:24" x14ac:dyDescent="0.25">
      <c r="A80" s="33" t="s">
        <v>573</v>
      </c>
      <c r="B80" s="33" t="s">
        <v>177</v>
      </c>
      <c r="C80" s="33" t="s">
        <v>178</v>
      </c>
      <c r="D80" s="33">
        <v>30</v>
      </c>
      <c r="E80" s="742">
        <v>0.24237352892150255</v>
      </c>
      <c r="F80" s="742">
        <v>0.20440580440920106</v>
      </c>
      <c r="G80" s="742">
        <v>0.20588414302454902</v>
      </c>
      <c r="H80" s="742">
        <v>0.19177047015094126</v>
      </c>
      <c r="I80" s="742">
        <v>0.20471542012978861</v>
      </c>
      <c r="J80" s="742">
        <v>0.33075284842385949</v>
      </c>
      <c r="K80" s="742">
        <v>0.26629846664346318</v>
      </c>
      <c r="L80" s="742">
        <v>0.27430084787685427</v>
      </c>
      <c r="M80" s="742">
        <v>0.24666978322680344</v>
      </c>
      <c r="N80" s="742">
        <v>0.26760592458937155</v>
      </c>
      <c r="O80" s="742">
        <v>1.063882476791925</v>
      </c>
      <c r="P80" s="742">
        <v>0.92845790669126549</v>
      </c>
      <c r="Q80" s="742">
        <v>1.0282480376375462</v>
      </c>
      <c r="R80" s="742">
        <v>0.87822169052300803</v>
      </c>
      <c r="S80" s="742">
        <v>0.93875676397640162</v>
      </c>
      <c r="T80" s="742">
        <v>0.85912386104536065</v>
      </c>
      <c r="U80" s="742">
        <v>0.69430458244521898</v>
      </c>
      <c r="V80" s="742">
        <v>0.74540903862214503</v>
      </c>
      <c r="W80" s="742">
        <v>0.64790307427710458</v>
      </c>
      <c r="X80" s="742">
        <v>0.6930265660903504</v>
      </c>
    </row>
    <row r="81" spans="1:24" x14ac:dyDescent="0.25">
      <c r="A81" s="726" t="s">
        <v>573</v>
      </c>
      <c r="B81" s="726" t="s">
        <v>177</v>
      </c>
      <c r="C81" s="726" t="s">
        <v>178</v>
      </c>
      <c r="D81" s="726">
        <v>35</v>
      </c>
      <c r="E81" s="743">
        <v>0.21798789056318357</v>
      </c>
      <c r="F81" s="743">
        <v>0.18126369838380135</v>
      </c>
      <c r="G81" s="743">
        <v>0.19150559891266847</v>
      </c>
      <c r="H81" s="743">
        <v>0.16959097097654829</v>
      </c>
      <c r="I81" s="743">
        <v>0.18425717649218157</v>
      </c>
      <c r="J81" s="743">
        <v>0.29747520715858611</v>
      </c>
      <c r="K81" s="743">
        <v>0.23614909115348326</v>
      </c>
      <c r="L81" s="743">
        <v>0.25514421549524674</v>
      </c>
      <c r="M81" s="743">
        <v>0.21814082228135456</v>
      </c>
      <c r="N81" s="743">
        <v>0.24086271589192462</v>
      </c>
      <c r="O81" s="743">
        <v>0.96102917497219398</v>
      </c>
      <c r="P81" s="743">
        <v>0.83582808527123209</v>
      </c>
      <c r="Q81" s="743">
        <v>0.92957846626055873</v>
      </c>
      <c r="R81" s="743">
        <v>0.79060252373099771</v>
      </c>
      <c r="S81" s="743">
        <v>0.84657451473246037</v>
      </c>
      <c r="T81" s="743">
        <v>0.75088210894405183</v>
      </c>
      <c r="U81" s="743">
        <v>0.60662701662274343</v>
      </c>
      <c r="V81" s="743">
        <v>0.65820035411265143</v>
      </c>
      <c r="W81" s="743">
        <v>0.56608394676028251</v>
      </c>
      <c r="X81" s="743">
        <v>0.60764279094947782</v>
      </c>
    </row>
    <row r="82" spans="1:24" x14ac:dyDescent="0.25">
      <c r="A82" s="33" t="s">
        <v>573</v>
      </c>
      <c r="B82" s="33" t="s">
        <v>177</v>
      </c>
      <c r="C82" s="33" t="s">
        <v>178</v>
      </c>
      <c r="D82" s="33">
        <v>40</v>
      </c>
      <c r="E82" s="742">
        <v>0.19970270393465317</v>
      </c>
      <c r="F82" s="742">
        <v>0.16392221970455037</v>
      </c>
      <c r="G82" s="742">
        <v>0.18021065043966406</v>
      </c>
      <c r="H82" s="742">
        <v>0.15287486638994979</v>
      </c>
      <c r="I82" s="742">
        <v>0.16871871936668853</v>
      </c>
      <c r="J82" s="742">
        <v>0.27252249227978009</v>
      </c>
      <c r="K82" s="742">
        <v>0.21355673280552742</v>
      </c>
      <c r="L82" s="742">
        <v>0.24009587861336718</v>
      </c>
      <c r="M82" s="742">
        <v>0.19663929552633663</v>
      </c>
      <c r="N82" s="742">
        <v>0.22055069844290387</v>
      </c>
      <c r="O82" s="742">
        <v>0.88895747496405841</v>
      </c>
      <c r="P82" s="742">
        <v>0.76524575673778106</v>
      </c>
      <c r="Q82" s="742">
        <v>0.8620619095813048</v>
      </c>
      <c r="R82" s="742">
        <v>0.72383938272876147</v>
      </c>
      <c r="S82" s="742">
        <v>0.77921466575235832</v>
      </c>
      <c r="T82" s="742">
        <v>0.67918466137594591</v>
      </c>
      <c r="U82" s="742">
        <v>0.54856382153466021</v>
      </c>
      <c r="V82" s="742">
        <v>0.60008467271346733</v>
      </c>
      <c r="W82" s="742">
        <v>0.5119037567964474</v>
      </c>
      <c r="X82" s="742">
        <v>0.55098816724017197</v>
      </c>
    </row>
    <row r="83" spans="1:24" x14ac:dyDescent="0.25">
      <c r="A83" s="33" t="s">
        <v>573</v>
      </c>
      <c r="B83" s="33" t="s">
        <v>177</v>
      </c>
      <c r="C83" s="33" t="s">
        <v>178</v>
      </c>
      <c r="D83" s="33">
        <v>45</v>
      </c>
      <c r="E83" s="742">
        <v>0.18547153710983091</v>
      </c>
      <c r="F83" s="742">
        <v>0.15044660715384267</v>
      </c>
      <c r="G83" s="742">
        <v>0.1707446567359506</v>
      </c>
      <c r="H83" s="742">
        <v>0.14026023358522707</v>
      </c>
      <c r="I83" s="742">
        <v>0.15660615145354834</v>
      </c>
      <c r="J83" s="742">
        <v>0.25310205893192239</v>
      </c>
      <c r="K83" s="742">
        <v>0.19600079808191773</v>
      </c>
      <c r="L83" s="742">
        <v>0.2274842706440445</v>
      </c>
      <c r="M83" s="742">
        <v>0.18041339412985197</v>
      </c>
      <c r="N83" s="742">
        <v>0.20471703562701826</v>
      </c>
      <c r="O83" s="742">
        <v>0.83279069860206767</v>
      </c>
      <c r="P83" s="742">
        <v>0.71044776219887307</v>
      </c>
      <c r="Q83" s="742">
        <v>0.80962559137622037</v>
      </c>
      <c r="R83" s="742">
        <v>0.67200679202903069</v>
      </c>
      <c r="S83" s="742">
        <v>0.72689942694346832</v>
      </c>
      <c r="T83" s="742">
        <v>0.62307448688689904</v>
      </c>
      <c r="U83" s="742">
        <v>0.50309582092052718</v>
      </c>
      <c r="V83" s="742">
        <v>0.55556212182501041</v>
      </c>
      <c r="W83" s="742">
        <v>0.46947680886742882</v>
      </c>
      <c r="X83" s="742">
        <v>0.50692728077699323</v>
      </c>
    </row>
    <row r="84" spans="1:24" s="462" customFormat="1" x14ac:dyDescent="0.25">
      <c r="A84" s="33" t="s">
        <v>573</v>
      </c>
      <c r="B84" s="33" t="s">
        <v>177</v>
      </c>
      <c r="C84" s="33" t="s">
        <v>178</v>
      </c>
      <c r="D84" s="33">
        <v>50</v>
      </c>
      <c r="E84" s="742">
        <v>0.17329952702424348</v>
      </c>
      <c r="F84" s="742">
        <v>0.14008504429615393</v>
      </c>
      <c r="G84" s="742">
        <v>0.16103226897334852</v>
      </c>
      <c r="H84" s="742">
        <v>0.13079229320057073</v>
      </c>
      <c r="I84" s="742">
        <v>0.146580245922141</v>
      </c>
      <c r="J84" s="742">
        <v>0.23649163524099262</v>
      </c>
      <c r="K84" s="742">
        <v>0.18250182573615895</v>
      </c>
      <c r="L84" s="742">
        <v>0.21454439018966265</v>
      </c>
      <c r="M84" s="742">
        <v>0.16823500816433151</v>
      </c>
      <c r="N84" s="742">
        <v>0.19161107752246051</v>
      </c>
      <c r="O84" s="742">
        <v>0.78688350549868735</v>
      </c>
      <c r="P84" s="742">
        <v>0.74163682386761187</v>
      </c>
      <c r="Q84" s="742">
        <v>0.76608515751418804</v>
      </c>
      <c r="R84" s="742">
        <v>0.70150617042415009</v>
      </c>
      <c r="S84" s="742">
        <v>0.72801025150910115</v>
      </c>
      <c r="T84" s="742">
        <v>0.57344237449446178</v>
      </c>
      <c r="U84" s="742">
        <v>0.46295841025031409</v>
      </c>
      <c r="V84" s="742">
        <v>0.51345376724920144</v>
      </c>
      <c r="W84" s="742">
        <v>0.43202337949651187</v>
      </c>
      <c r="X84" s="742">
        <v>0.46716735551988692</v>
      </c>
    </row>
    <row r="85" spans="1:24" s="462" customFormat="1" x14ac:dyDescent="0.25">
      <c r="A85" s="33" t="s">
        <v>573</v>
      </c>
      <c r="B85" s="33" t="s">
        <v>177</v>
      </c>
      <c r="C85" s="33" t="s">
        <v>178</v>
      </c>
      <c r="D85" s="33">
        <v>55</v>
      </c>
      <c r="E85" s="742">
        <v>0.16310276948888422</v>
      </c>
      <c r="F85" s="742">
        <v>0.13325230225296464</v>
      </c>
      <c r="G85" s="742">
        <v>0.15141981303357527</v>
      </c>
      <c r="H85" s="742">
        <v>0.12394021105799884</v>
      </c>
      <c r="I85" s="742">
        <v>0.13856824971898427</v>
      </c>
      <c r="J85" s="742">
        <v>0.22257672211283569</v>
      </c>
      <c r="K85" s="742">
        <v>0.17360017671336964</v>
      </c>
      <c r="L85" s="742">
        <v>0.20173764958436835</v>
      </c>
      <c r="M85" s="742">
        <v>0.15942133828371793</v>
      </c>
      <c r="N85" s="742">
        <v>0.18113772065274855</v>
      </c>
      <c r="O85" s="742">
        <v>0.74930806386145876</v>
      </c>
      <c r="P85" s="742">
        <v>0.76715461773744087</v>
      </c>
      <c r="Q85" s="742">
        <v>0.7299626416416265</v>
      </c>
      <c r="R85" s="742">
        <v>0.72564289420452266</v>
      </c>
      <c r="S85" s="742">
        <v>0.72875662704160282</v>
      </c>
      <c r="T85" s="742">
        <v>0.53163068489723297</v>
      </c>
      <c r="U85" s="742">
        <v>0.4291974196560307</v>
      </c>
      <c r="V85" s="742">
        <v>0.47623946533567052</v>
      </c>
      <c r="W85" s="742">
        <v>0.40052001943072257</v>
      </c>
      <c r="X85" s="742">
        <v>0.43317069215117998</v>
      </c>
    </row>
    <row r="86" spans="1:24" s="462" customFormat="1" x14ac:dyDescent="0.25">
      <c r="A86" s="33" t="s">
        <v>573</v>
      </c>
      <c r="B86" s="33" t="s">
        <v>177</v>
      </c>
      <c r="C86" s="33" t="s">
        <v>178</v>
      </c>
      <c r="D86" s="33">
        <v>60</v>
      </c>
      <c r="E86" s="742">
        <v>0.15558778731608058</v>
      </c>
      <c r="F86" s="742">
        <v>0.12758132788631737</v>
      </c>
      <c r="G86" s="742">
        <v>0.14375882272963936</v>
      </c>
      <c r="H86" s="742">
        <v>0.11930014133919682</v>
      </c>
      <c r="I86" s="742">
        <v>0.13256278500123247</v>
      </c>
      <c r="J86" s="742">
        <v>0.21232146952576653</v>
      </c>
      <c r="K86" s="742">
        <v>0.16621207057530063</v>
      </c>
      <c r="L86" s="742">
        <v>0.19153085995465211</v>
      </c>
      <c r="M86" s="742">
        <v>0.1534529272411144</v>
      </c>
      <c r="N86" s="742">
        <v>0.17328732063225216</v>
      </c>
      <c r="O86" s="742">
        <v>0.70577339431129438</v>
      </c>
      <c r="P86" s="742">
        <v>0.7268787280119694</v>
      </c>
      <c r="Q86" s="742">
        <v>0.68977950542437305</v>
      </c>
      <c r="R86" s="742">
        <v>0.68754664089852058</v>
      </c>
      <c r="S86" s="742">
        <v>0.68963214069849887</v>
      </c>
      <c r="T86" s="742">
        <v>0.49472694298000652</v>
      </c>
      <c r="U86" s="742">
        <v>0.39940126552294641</v>
      </c>
      <c r="V86" s="742">
        <v>0.44330609728600595</v>
      </c>
      <c r="W86" s="742">
        <v>0.37271590296921037</v>
      </c>
      <c r="X86" s="742">
        <v>0.40313880885987802</v>
      </c>
    </row>
    <row r="87" spans="1:24" s="462" customFormat="1" x14ac:dyDescent="0.25">
      <c r="A87" s="33" t="s">
        <v>573</v>
      </c>
      <c r="B87" s="33" t="s">
        <v>177</v>
      </c>
      <c r="C87" s="33" t="s">
        <v>178</v>
      </c>
      <c r="D87" s="33">
        <v>65</v>
      </c>
      <c r="E87" s="742">
        <v>0.15314808727714688</v>
      </c>
      <c r="F87" s="742">
        <v>0.12495763828280432</v>
      </c>
      <c r="G87" s="742">
        <v>0.13981034205144818</v>
      </c>
      <c r="H87" s="742">
        <v>0.11726280808324209</v>
      </c>
      <c r="I87" s="742">
        <v>0.12976455401400022</v>
      </c>
      <c r="J87" s="742">
        <v>0.20899215488993236</v>
      </c>
      <c r="K87" s="742">
        <v>0.16279394592672061</v>
      </c>
      <c r="L87" s="742">
        <v>0.18627027221854817</v>
      </c>
      <c r="M87" s="742">
        <v>0.15083235405165749</v>
      </c>
      <c r="N87" s="742">
        <v>0.16962944674039698</v>
      </c>
      <c r="O87" s="742">
        <v>0.67462292292520987</v>
      </c>
      <c r="P87" s="742">
        <v>0.69477527266600847</v>
      </c>
      <c r="Q87" s="742">
        <v>0.66014049305520184</v>
      </c>
      <c r="R87" s="742">
        <v>0.65718558251633474</v>
      </c>
      <c r="S87" s="742">
        <v>0.65944541421195546</v>
      </c>
      <c r="T87" s="742">
        <v>0.47280301733753383</v>
      </c>
      <c r="U87" s="742">
        <v>0.38175965068117401</v>
      </c>
      <c r="V87" s="742">
        <v>0.42184409518673754</v>
      </c>
      <c r="W87" s="742">
        <v>0.35625597286202521</v>
      </c>
      <c r="X87" s="742">
        <v>0.38475367053355292</v>
      </c>
    </row>
    <row r="88" spans="1:24" s="462" customFormat="1" x14ac:dyDescent="0.25">
      <c r="A88" s="33" t="s">
        <v>573</v>
      </c>
      <c r="B88" s="33" t="s">
        <v>177</v>
      </c>
      <c r="C88" s="33" t="s">
        <v>178</v>
      </c>
      <c r="D88" s="33">
        <v>70</v>
      </c>
      <c r="E88" s="742">
        <v>0.15855653532172678</v>
      </c>
      <c r="F88" s="742">
        <v>0.12819734645841643</v>
      </c>
      <c r="G88" s="742">
        <v>0.14185523686695545</v>
      </c>
      <c r="H88" s="742">
        <v>0.12030757173298018</v>
      </c>
      <c r="I88" s="742">
        <v>0.13271426295431055</v>
      </c>
      <c r="J88" s="742">
        <v>0.21637274469384865</v>
      </c>
      <c r="K88" s="742">
        <v>0.16701461530561307</v>
      </c>
      <c r="L88" s="742">
        <v>0.18899469952738535</v>
      </c>
      <c r="M88" s="742">
        <v>0.15474876093571316</v>
      </c>
      <c r="N88" s="742">
        <v>0.17348533403868074</v>
      </c>
      <c r="O88" s="742">
        <v>0.64847275521618908</v>
      </c>
      <c r="P88" s="742">
        <v>0.66781665055300221</v>
      </c>
      <c r="Q88" s="742">
        <v>0.6355408740955748</v>
      </c>
      <c r="R88" s="742">
        <v>0.63169092261446913</v>
      </c>
      <c r="S88" s="742">
        <v>0.63419118438874011</v>
      </c>
      <c r="T88" s="742">
        <v>0.45463344423237506</v>
      </c>
      <c r="U88" s="742">
        <v>0.36713865498851195</v>
      </c>
      <c r="V88" s="742">
        <v>0.4040540901724044</v>
      </c>
      <c r="W88" s="742">
        <v>0.34261488933715423</v>
      </c>
      <c r="X88" s="742">
        <v>0.36951589627511594</v>
      </c>
    </row>
    <row r="89" spans="1:24" s="462" customFormat="1" x14ac:dyDescent="0.25">
      <c r="A89" s="33" t="s">
        <v>573</v>
      </c>
      <c r="B89" s="33" t="s">
        <v>177</v>
      </c>
      <c r="C89" s="33" t="s">
        <v>178</v>
      </c>
      <c r="D89" s="33">
        <v>75</v>
      </c>
      <c r="E89" s="742">
        <v>0.17040191370837668</v>
      </c>
      <c r="F89" s="742">
        <v>0.13698293449519597</v>
      </c>
      <c r="G89" s="742">
        <v>0.14878411992866103</v>
      </c>
      <c r="H89" s="742">
        <v>0.12855682575400573</v>
      </c>
      <c r="I89" s="742">
        <v>0.14099307128490474</v>
      </c>
      <c r="J89" s="742">
        <v>0.23253743338521052</v>
      </c>
      <c r="K89" s="742">
        <v>0.1784604185670112</v>
      </c>
      <c r="L89" s="742">
        <v>0.19822609768532309</v>
      </c>
      <c r="M89" s="742">
        <v>0.16535957968975595</v>
      </c>
      <c r="N89" s="742">
        <v>0.1843074702334152</v>
      </c>
      <c r="O89" s="742">
        <v>0.61679905079313369</v>
      </c>
      <c r="P89" s="742">
        <v>0.63514351223641041</v>
      </c>
      <c r="Q89" s="742">
        <v>0.60623332676240005</v>
      </c>
      <c r="R89" s="742">
        <v>0.60078723507825926</v>
      </c>
      <c r="S89" s="742">
        <v>0.60374727438278974</v>
      </c>
      <c r="T89" s="742">
        <v>0.43028037513567002</v>
      </c>
      <c r="U89" s="742">
        <v>0.34748196535005632</v>
      </c>
      <c r="V89" s="742">
        <v>0.38214305990842051</v>
      </c>
      <c r="W89" s="742">
        <v>0.3242721975452218</v>
      </c>
      <c r="X89" s="742">
        <v>0.34964666850756726</v>
      </c>
    </row>
    <row r="90" spans="1:24" s="462" customFormat="1" x14ac:dyDescent="0.25">
      <c r="A90" s="33" t="s">
        <v>573</v>
      </c>
      <c r="B90" s="33" t="s">
        <v>173</v>
      </c>
      <c r="C90" s="33" t="s">
        <v>575</v>
      </c>
      <c r="D90" s="744" t="s">
        <v>574</v>
      </c>
      <c r="E90" s="746">
        <v>7.2299997814970693E-3</v>
      </c>
      <c r="F90" s="746">
        <v>7.3747347996039872E-3</v>
      </c>
      <c r="G90" s="746">
        <v>7.1489568695175974E-3</v>
      </c>
      <c r="H90" s="746">
        <v>8.0134029386027469E-3</v>
      </c>
      <c r="I90" s="746">
        <v>7.5744678560726551E-3</v>
      </c>
      <c r="J90" s="746">
        <v>8.6937660616964573E-3</v>
      </c>
      <c r="K90" s="746">
        <v>8.7049931824461409E-3</v>
      </c>
      <c r="L90" s="746">
        <v>8.4814542129799161E-3</v>
      </c>
      <c r="M90" s="746">
        <v>9.3765939273557537E-3</v>
      </c>
      <c r="N90" s="746">
        <v>8.9309311722981718E-3</v>
      </c>
      <c r="O90" s="746">
        <v>1.2425578219406003E-2</v>
      </c>
      <c r="P90" s="746">
        <v>1.0679672164122916E-2</v>
      </c>
      <c r="Q90" s="746">
        <v>1.1799258566140032E-2</v>
      </c>
      <c r="R90" s="746">
        <v>1.137587654888108E-2</v>
      </c>
      <c r="S90" s="746">
        <v>1.1475428886347018E-2</v>
      </c>
      <c r="T90" s="746">
        <v>1.5156030489387587E-2</v>
      </c>
      <c r="U90" s="746">
        <v>1.4912191073672438E-2</v>
      </c>
      <c r="V90" s="746">
        <v>1.4399946109706262E-2</v>
      </c>
      <c r="W90" s="746">
        <v>1.6812425109695408E-2</v>
      </c>
      <c r="X90" s="746">
        <v>1.561126068121038E-2</v>
      </c>
    </row>
    <row r="91" spans="1:24" s="462" customFormat="1" x14ac:dyDescent="0.25">
      <c r="A91" s="33" t="s">
        <v>573</v>
      </c>
      <c r="B91" s="33" t="s">
        <v>173</v>
      </c>
      <c r="C91" s="33" t="s">
        <v>575</v>
      </c>
      <c r="D91" s="33">
        <v>2.5</v>
      </c>
      <c r="E91" s="742">
        <v>4.510507887633048E-2</v>
      </c>
      <c r="F91" s="742">
        <v>4.3102632092246781E-2</v>
      </c>
      <c r="G91" s="742">
        <v>4.3512462725163889E-2</v>
      </c>
      <c r="H91" s="742">
        <v>4.2097427487231741E-2</v>
      </c>
      <c r="I91" s="742">
        <v>4.3998234869233085E-2</v>
      </c>
      <c r="J91" s="742">
        <v>5.4235644206012838E-2</v>
      </c>
      <c r="K91" s="742">
        <v>5.087699089727836E-2</v>
      </c>
      <c r="L91" s="742">
        <v>5.1628298272317082E-2</v>
      </c>
      <c r="M91" s="742">
        <v>4.9263228199530384E-2</v>
      </c>
      <c r="N91" s="742">
        <v>5.1880015770297432E-2</v>
      </c>
      <c r="O91" s="742">
        <v>6.73276184989898E-2</v>
      </c>
      <c r="P91" s="742">
        <v>6.3509553781318853E-2</v>
      </c>
      <c r="Q91" s="742">
        <v>6.5728672067349822E-2</v>
      </c>
      <c r="R91" s="742">
        <v>6.3710360080144884E-2</v>
      </c>
      <c r="S91" s="742">
        <v>6.7661564174653008E-2</v>
      </c>
      <c r="T91" s="742">
        <v>7.6441371476747844E-2</v>
      </c>
      <c r="U91" s="742">
        <v>7.205374649834112E-2</v>
      </c>
      <c r="V91" s="742">
        <v>7.4085933675451229E-2</v>
      </c>
      <c r="W91" s="742">
        <v>6.6361522912523743E-2</v>
      </c>
      <c r="X91" s="742">
        <v>7.4964935672019187E-2</v>
      </c>
    </row>
    <row r="92" spans="1:24" s="462" customFormat="1" x14ac:dyDescent="0.25">
      <c r="A92" s="33" t="s">
        <v>573</v>
      </c>
      <c r="B92" s="33" t="s">
        <v>173</v>
      </c>
      <c r="C92" s="33" t="s">
        <v>575</v>
      </c>
      <c r="D92" s="33">
        <v>5</v>
      </c>
      <c r="E92" s="742">
        <v>2.5004955282067726E-2</v>
      </c>
      <c r="F92" s="742">
        <v>2.4277788998299982E-2</v>
      </c>
      <c r="G92" s="742">
        <v>2.4021756558980457E-2</v>
      </c>
      <c r="H92" s="742">
        <v>2.3711688584270672E-2</v>
      </c>
      <c r="I92" s="742">
        <v>2.4782332454715457E-2</v>
      </c>
      <c r="J92" s="742">
        <v>3.0066677452971938E-2</v>
      </c>
      <c r="K92" s="742">
        <v>2.8656738345562306E-2</v>
      </c>
      <c r="L92" s="742">
        <v>2.8502234416964065E-2</v>
      </c>
      <c r="M92" s="742">
        <v>2.7747879037915497E-2</v>
      </c>
      <c r="N92" s="742">
        <v>2.9221804065473016E-2</v>
      </c>
      <c r="O92" s="742">
        <v>3.4736200147092458E-2</v>
      </c>
      <c r="P92" s="742">
        <v>3.1754776890659427E-2</v>
      </c>
      <c r="Q92" s="742">
        <v>3.4339063224151027E-2</v>
      </c>
      <c r="R92" s="742">
        <v>3.1855187222062903E-2</v>
      </c>
      <c r="S92" s="742">
        <v>3.3830789714731344E-2</v>
      </c>
      <c r="T92" s="742">
        <v>3.8404516032974512E-2</v>
      </c>
      <c r="U92" s="742">
        <v>3.6026868185553146E-2</v>
      </c>
      <c r="V92" s="742">
        <v>3.7671387489731673E-2</v>
      </c>
      <c r="W92" s="742">
        <v>3.3180812755570825E-2</v>
      </c>
      <c r="X92" s="742">
        <v>3.7482525785996687E-2</v>
      </c>
    </row>
    <row r="93" spans="1:24" s="462" customFormat="1" x14ac:dyDescent="0.25">
      <c r="A93" s="33" t="s">
        <v>573</v>
      </c>
      <c r="B93" s="33" t="s">
        <v>173</v>
      </c>
      <c r="C93" s="33" t="s">
        <v>575</v>
      </c>
      <c r="D93" s="33">
        <v>10</v>
      </c>
      <c r="E93" s="742">
        <v>1.5027253282673781E-2</v>
      </c>
      <c r="F93" s="742">
        <v>1.4865274844646665E-2</v>
      </c>
      <c r="G93" s="742">
        <v>1.4311039705199669E-2</v>
      </c>
      <c r="H93" s="742">
        <v>1.4518606011560945E-2</v>
      </c>
      <c r="I93" s="742">
        <v>1.5174158503254516E-2</v>
      </c>
      <c r="J93" s="742">
        <v>1.8069201578548241E-2</v>
      </c>
      <c r="K93" s="742">
        <v>1.7546502759692748E-2</v>
      </c>
      <c r="L93" s="742">
        <v>1.6980298981324513E-2</v>
      </c>
      <c r="M93" s="742">
        <v>1.6989955058501677E-2</v>
      </c>
      <c r="N93" s="742">
        <v>1.7892435566780711E-2</v>
      </c>
      <c r="O93" s="742">
        <v>2.2880488965776647E-2</v>
      </c>
      <c r="P93" s="742">
        <v>1.5877381285977512E-2</v>
      </c>
      <c r="Q93" s="742">
        <v>2.2324293778465752E-2</v>
      </c>
      <c r="R93" s="742">
        <v>1.5927586429040991E-2</v>
      </c>
      <c r="S93" s="742">
        <v>1.6915387229960832E-2</v>
      </c>
      <c r="T93" s="742">
        <v>2.4692200979570762E-2</v>
      </c>
      <c r="U93" s="742">
        <v>2.3261468446408723E-2</v>
      </c>
      <c r="V93" s="742">
        <v>2.3966837721302155E-2</v>
      </c>
      <c r="W93" s="742">
        <v>2.1423729332751808E-2</v>
      </c>
      <c r="X93" s="742">
        <v>2.4201200044813923E-2</v>
      </c>
    </row>
    <row r="94" spans="1:24" s="462" customFormat="1" ht="18" customHeight="1" x14ac:dyDescent="0.25">
      <c r="A94" s="33" t="s">
        <v>573</v>
      </c>
      <c r="B94" s="33" t="s">
        <v>173</v>
      </c>
      <c r="C94" s="33" t="s">
        <v>575</v>
      </c>
      <c r="D94" s="33">
        <v>15</v>
      </c>
      <c r="E94" s="742">
        <v>1.1894253122513817E-2</v>
      </c>
      <c r="F94" s="742">
        <v>1.1727718038747299E-2</v>
      </c>
      <c r="G94" s="742">
        <v>1.1315993398090859E-2</v>
      </c>
      <c r="H94" s="742">
        <v>1.1454239985573217E-2</v>
      </c>
      <c r="I94" s="742">
        <v>1.1971428450982322E-2</v>
      </c>
      <c r="J94" s="742">
        <v>1.4301992070951416E-2</v>
      </c>
      <c r="K94" s="742">
        <v>1.3843029414682115E-2</v>
      </c>
      <c r="L94" s="742">
        <v>1.3426624139716636E-2</v>
      </c>
      <c r="M94" s="742">
        <v>1.3403974350514039E-2</v>
      </c>
      <c r="N94" s="742">
        <v>1.4115973031096648E-2</v>
      </c>
      <c r="O94" s="742">
        <v>1.9018748070276904E-2</v>
      </c>
      <c r="P94" s="742">
        <v>1.0584908925064675E-2</v>
      </c>
      <c r="Q94" s="742">
        <v>1.8478315274056353E-2</v>
      </c>
      <c r="R94" s="742">
        <v>1.0618378982709892E-2</v>
      </c>
      <c r="S94" s="742">
        <v>1.1276912107632498E-2</v>
      </c>
      <c r="T94" s="742">
        <v>2.2956289449674112E-2</v>
      </c>
      <c r="U94" s="742">
        <v>2.1699646293194486E-2</v>
      </c>
      <c r="V94" s="742">
        <v>2.2090476546809571E-2</v>
      </c>
      <c r="W94" s="742">
        <v>1.998529670957306E-2</v>
      </c>
      <c r="X94" s="742">
        <v>2.2576282406813506E-2</v>
      </c>
    </row>
    <row r="95" spans="1:24" s="462" customFormat="1" ht="18" customHeight="1" x14ac:dyDescent="0.25">
      <c r="A95" s="33" t="s">
        <v>573</v>
      </c>
      <c r="B95" s="33" t="s">
        <v>173</v>
      </c>
      <c r="C95" s="33" t="s">
        <v>575</v>
      </c>
      <c r="D95" s="33">
        <v>20</v>
      </c>
      <c r="E95" s="742">
        <v>9.9271162702423404E-3</v>
      </c>
      <c r="F95" s="742">
        <v>1.0093883754434988E-2</v>
      </c>
      <c r="G95" s="742">
        <v>9.4798859695518333E-3</v>
      </c>
      <c r="H95" s="742">
        <v>9.858533697220161E-3</v>
      </c>
      <c r="I95" s="742">
        <v>1.0303671909835853E-2</v>
      </c>
      <c r="J95" s="742">
        <v>1.1936650138685813E-2</v>
      </c>
      <c r="K95" s="742">
        <v>1.1914502826497933E-2</v>
      </c>
      <c r="L95" s="742">
        <v>1.12480505531242E-2</v>
      </c>
      <c r="M95" s="742">
        <v>1.1536647824530837E-2</v>
      </c>
      <c r="N95" s="742">
        <v>1.2149456967148838E-2</v>
      </c>
      <c r="O95" s="742">
        <v>1.6803565967146696E-2</v>
      </c>
      <c r="P95" s="742">
        <v>1.0975707892378787E-2</v>
      </c>
      <c r="Q95" s="742">
        <v>1.6368727014254549E-2</v>
      </c>
      <c r="R95" s="742">
        <v>1.101039500443572E-2</v>
      </c>
      <c r="S95" s="742">
        <v>1.1693240271185925E-2</v>
      </c>
      <c r="T95" s="742">
        <v>2.0875468577920248E-2</v>
      </c>
      <c r="U95" s="742">
        <v>1.9727883801892072E-2</v>
      </c>
      <c r="V95" s="742">
        <v>2.0100873228828326E-2</v>
      </c>
      <c r="W95" s="742">
        <v>1.8169310499611447E-2</v>
      </c>
      <c r="X95" s="742">
        <v>2.052486340019281E-2</v>
      </c>
    </row>
    <row r="96" spans="1:24" s="462" customFormat="1" ht="18" customHeight="1" x14ac:dyDescent="0.25">
      <c r="A96" s="33" t="s">
        <v>573</v>
      </c>
      <c r="B96" s="33" t="s">
        <v>173</v>
      </c>
      <c r="C96" s="33" t="s">
        <v>575</v>
      </c>
      <c r="D96" s="33">
        <v>25</v>
      </c>
      <c r="E96" s="742">
        <v>8.852989784552491E-3</v>
      </c>
      <c r="F96" s="742">
        <v>8.9824562028840305E-3</v>
      </c>
      <c r="G96" s="742">
        <v>8.4605490395173316E-3</v>
      </c>
      <c r="H96" s="742">
        <v>8.7729304867049333E-3</v>
      </c>
      <c r="I96" s="742">
        <v>9.1690509155831854E-3</v>
      </c>
      <c r="J96" s="742">
        <v>1.0645089557008163E-2</v>
      </c>
      <c r="K96" s="742">
        <v>1.0602608710560318E-2</v>
      </c>
      <c r="L96" s="742">
        <v>1.0038589452376748E-2</v>
      </c>
      <c r="M96" s="742">
        <v>1.0266253838818164E-2</v>
      </c>
      <c r="N96" s="742">
        <v>1.0811581589873161E-2</v>
      </c>
      <c r="O96" s="742">
        <v>1.5396490780042823E-2</v>
      </c>
      <c r="P96" s="742">
        <v>1.1210185268148638E-2</v>
      </c>
      <c r="Q96" s="742">
        <v>1.5076649309475609E-2</v>
      </c>
      <c r="R96" s="742">
        <v>1.124564828397322E-2</v>
      </c>
      <c r="S96" s="742">
        <v>1.1943083543939376E-2</v>
      </c>
      <c r="T96" s="742">
        <v>1.9619688309636094E-2</v>
      </c>
      <c r="U96" s="742">
        <v>1.8523077057621302E-2</v>
      </c>
      <c r="V96" s="742">
        <v>1.8938209305490301E-2</v>
      </c>
      <c r="W96" s="742">
        <v>1.7059781064029327E-2</v>
      </c>
      <c r="X96" s="742">
        <v>1.9271489470328876E-2</v>
      </c>
    </row>
    <row r="97" spans="1:24" s="462" customFormat="1" ht="18" customHeight="1" x14ac:dyDescent="0.25">
      <c r="A97" s="33" t="s">
        <v>573</v>
      </c>
      <c r="B97" s="33" t="s">
        <v>173</v>
      </c>
      <c r="C97" s="33" t="s">
        <v>575</v>
      </c>
      <c r="D97" s="33">
        <v>30</v>
      </c>
      <c r="E97" s="742">
        <v>8.1788682555723694E-3</v>
      </c>
      <c r="F97" s="742">
        <v>8.0326262183075571E-3</v>
      </c>
      <c r="G97" s="742">
        <v>7.8738205430167185E-3</v>
      </c>
      <c r="H97" s="742">
        <v>7.8453700447094713E-3</v>
      </c>
      <c r="I97" s="742">
        <v>8.199608728297416E-3</v>
      </c>
      <c r="J97" s="742">
        <v>9.8345064406894084E-3</v>
      </c>
      <c r="K97" s="742">
        <v>9.4814592787614213E-3</v>
      </c>
      <c r="L97" s="742">
        <v>9.34242582648564E-3</v>
      </c>
      <c r="M97" s="742">
        <v>9.1808045738544335E-3</v>
      </c>
      <c r="N97" s="742">
        <v>9.6684749149290906E-3</v>
      </c>
      <c r="O97" s="742">
        <v>1.5046822561587814E-2</v>
      </c>
      <c r="P97" s="742">
        <v>1.136651258717466E-2</v>
      </c>
      <c r="Q97" s="742">
        <v>1.4794041645795744E-2</v>
      </c>
      <c r="R97" s="742">
        <v>1.1402442626919577E-2</v>
      </c>
      <c r="S97" s="742">
        <v>1.2109601995320624E-2</v>
      </c>
      <c r="T97" s="742">
        <v>1.9293360233415935E-2</v>
      </c>
      <c r="U97" s="742">
        <v>1.8200706918980944E-2</v>
      </c>
      <c r="V97" s="742">
        <v>1.8660337202930984E-2</v>
      </c>
      <c r="W97" s="742">
        <v>1.6762786046604496E-2</v>
      </c>
      <c r="X97" s="742">
        <v>1.8935990654162297E-2</v>
      </c>
    </row>
    <row r="98" spans="1:24" s="462" customFormat="1" ht="18" customHeight="1" x14ac:dyDescent="0.25">
      <c r="A98" s="33" t="s">
        <v>573</v>
      </c>
      <c r="B98" s="33" t="s">
        <v>173</v>
      </c>
      <c r="C98" s="33" t="s">
        <v>575</v>
      </c>
      <c r="D98" s="33">
        <v>35</v>
      </c>
      <c r="E98" s="742">
        <v>7.9033327303576605E-3</v>
      </c>
      <c r="F98" s="742">
        <v>7.598665090531382E-3</v>
      </c>
      <c r="G98" s="742">
        <v>7.6979813303129285E-3</v>
      </c>
      <c r="H98" s="742">
        <v>7.3971318641639569E-3</v>
      </c>
      <c r="I98" s="742">
        <v>7.7311314383019447E-3</v>
      </c>
      <c r="J98" s="742">
        <v>9.5031945998957142E-3</v>
      </c>
      <c r="K98" s="742">
        <v>8.9692252161086092E-3</v>
      </c>
      <c r="L98" s="742">
        <v>9.1337895243121334E-3</v>
      </c>
      <c r="M98" s="742">
        <v>8.6562675393134659E-3</v>
      </c>
      <c r="N98" s="742">
        <v>9.1160752728701097E-3</v>
      </c>
      <c r="O98" s="742">
        <v>1.2674366359081807E-2</v>
      </c>
      <c r="P98" s="742">
        <v>1.0943546650426329E-2</v>
      </c>
      <c r="Q98" s="742">
        <v>1.2657535341419751E-2</v>
      </c>
      <c r="R98" s="742">
        <v>1.097810621172157E-2</v>
      </c>
      <c r="S98" s="742">
        <v>1.1658948984531728E-2</v>
      </c>
      <c r="T98" s="742">
        <v>1.6162310023263318E-2</v>
      </c>
      <c r="U98" s="742">
        <v>1.5182063808564371E-2</v>
      </c>
      <c r="V98" s="742">
        <v>1.5801041016636187E-2</v>
      </c>
      <c r="W98" s="742">
        <v>1.3982625593920828E-2</v>
      </c>
      <c r="X98" s="742">
        <v>1.5795397425642663E-2</v>
      </c>
    </row>
    <row r="99" spans="1:24" s="462" customFormat="1" x14ac:dyDescent="0.25">
      <c r="A99" s="33" t="s">
        <v>573</v>
      </c>
      <c r="B99" s="33" t="s">
        <v>173</v>
      </c>
      <c r="C99" s="33" t="s">
        <v>575</v>
      </c>
      <c r="D99" s="33">
        <v>40</v>
      </c>
      <c r="E99" s="742">
        <v>7.7090132711086666E-3</v>
      </c>
      <c r="F99" s="742">
        <v>7.3315762194483E-3</v>
      </c>
      <c r="G99" s="742">
        <v>7.564261246962873E-3</v>
      </c>
      <c r="H99" s="742">
        <v>7.1125183433903942E-3</v>
      </c>
      <c r="I99" s="742">
        <v>7.4336668833062097E-3</v>
      </c>
      <c r="J99" s="742">
        <v>9.2695392928508168E-3</v>
      </c>
      <c r="K99" s="742">
        <v>8.6539619153947148E-3</v>
      </c>
      <c r="L99" s="742">
        <v>8.9751283059894306E-3</v>
      </c>
      <c r="M99" s="742">
        <v>8.3232072632005751E-3</v>
      </c>
      <c r="N99" s="742">
        <v>8.7653233427040494E-3</v>
      </c>
      <c r="O99" s="742">
        <v>1.2244230376536875E-2</v>
      </c>
      <c r="P99" s="742">
        <v>1.0626282821427984E-2</v>
      </c>
      <c r="Q99" s="742">
        <v>1.2344897433038987E-2</v>
      </c>
      <c r="R99" s="742">
        <v>1.0659916742739599E-2</v>
      </c>
      <c r="S99" s="742">
        <v>1.1321025966232355E-2</v>
      </c>
      <c r="T99" s="742">
        <v>1.5847413746634526E-2</v>
      </c>
      <c r="U99" s="742">
        <v>1.485786165314593E-2</v>
      </c>
      <c r="V99" s="742">
        <v>1.5566844842028138E-2</v>
      </c>
      <c r="W99" s="742">
        <v>1.3684039365203593E-2</v>
      </c>
      <c r="X99" s="742">
        <v>1.545810110624017E-2</v>
      </c>
    </row>
    <row r="100" spans="1:24" s="462" customFormat="1" x14ac:dyDescent="0.25">
      <c r="A100" s="33" t="s">
        <v>573</v>
      </c>
      <c r="B100" s="33" t="s">
        <v>173</v>
      </c>
      <c r="C100" s="33" t="s">
        <v>575</v>
      </c>
      <c r="D100" s="33">
        <v>45</v>
      </c>
      <c r="E100" s="742">
        <v>7.5515619701207919E-3</v>
      </c>
      <c r="F100" s="742">
        <v>7.1238143003531755E-3</v>
      </c>
      <c r="G100" s="742">
        <v>7.4393028573073953E-3</v>
      </c>
      <c r="H100" s="742">
        <v>6.9043600114199136E-3</v>
      </c>
      <c r="I100" s="742">
        <v>7.2161096659963675E-3</v>
      </c>
      <c r="J100" s="742">
        <v>9.0802153197442458E-3</v>
      </c>
      <c r="K100" s="742">
        <v>8.4087262823600174E-3</v>
      </c>
      <c r="L100" s="742">
        <v>8.8268629905208455E-3</v>
      </c>
      <c r="M100" s="742">
        <v>8.0796163356407942E-3</v>
      </c>
      <c r="N100" s="742">
        <v>8.5087932364731455E-3</v>
      </c>
      <c r="O100" s="742">
        <v>1.1907450811712371E-2</v>
      </c>
      <c r="P100" s="742">
        <v>1.0379528588505719E-2</v>
      </c>
      <c r="Q100" s="742">
        <v>1.2087372413858584E-2</v>
      </c>
      <c r="R100" s="742">
        <v>1.0412396623494869E-2</v>
      </c>
      <c r="S100" s="742">
        <v>1.1058155086021863E-2</v>
      </c>
      <c r="T100" s="742">
        <v>1.5605154014054504E-2</v>
      </c>
      <c r="U100" s="742">
        <v>1.4605743129695769E-2</v>
      </c>
      <c r="V100" s="742">
        <v>1.539381513528758E-2</v>
      </c>
      <c r="W100" s="742">
        <v>1.3451842836710221E-2</v>
      </c>
      <c r="X100" s="742">
        <v>1.5195801552857153E-2</v>
      </c>
    </row>
    <row r="101" spans="1:24" s="462" customFormat="1" x14ac:dyDescent="0.25">
      <c r="A101" s="33" t="s">
        <v>573</v>
      </c>
      <c r="B101" s="33" t="s">
        <v>173</v>
      </c>
      <c r="C101" s="33" t="s">
        <v>575</v>
      </c>
      <c r="D101" s="33">
        <v>50</v>
      </c>
      <c r="E101" s="742">
        <v>7.3435583042441317E-3</v>
      </c>
      <c r="F101" s="742">
        <v>6.969730792695166E-3</v>
      </c>
      <c r="G101" s="742">
        <v>7.2375481160839783E-3</v>
      </c>
      <c r="H101" s="742">
        <v>6.7603204629507899E-3</v>
      </c>
      <c r="I101" s="742">
        <v>7.0655663605669579E-3</v>
      </c>
      <c r="J101" s="742">
        <v>8.8301057290490655E-3</v>
      </c>
      <c r="K101" s="742">
        <v>8.2268509574434379E-3</v>
      </c>
      <c r="L101" s="742">
        <v>8.5874774603675996E-3</v>
      </c>
      <c r="M101" s="742">
        <v>7.9110584552775833E-3</v>
      </c>
      <c r="N101" s="742">
        <v>8.3312818185036931E-3</v>
      </c>
      <c r="O101" s="742">
        <v>1.1656789655044564E-2</v>
      </c>
      <c r="P101" s="742">
        <v>1.2123525306348372E-2</v>
      </c>
      <c r="Q101" s="742">
        <v>1.1886883579609025E-2</v>
      </c>
      <c r="R101" s="742">
        <v>1.2161890717023548E-2</v>
      </c>
      <c r="S101" s="742">
        <v>1.2916149715679556E-2</v>
      </c>
      <c r="T101" s="742">
        <v>1.4911041113426862E-2</v>
      </c>
      <c r="U101" s="742">
        <v>1.392692369453812E-2</v>
      </c>
      <c r="V101" s="742">
        <v>1.4784623780519019E-2</v>
      </c>
      <c r="W101" s="742">
        <v>1.2826645100434707E-2</v>
      </c>
      <c r="X101" s="742">
        <v>1.4489550309286899E-2</v>
      </c>
    </row>
    <row r="102" spans="1:24" s="462" customFormat="1" x14ac:dyDescent="0.25">
      <c r="A102" s="33" t="s">
        <v>573</v>
      </c>
      <c r="B102" s="33" t="s">
        <v>173</v>
      </c>
      <c r="C102" s="33" t="s">
        <v>575</v>
      </c>
      <c r="D102" s="33">
        <v>55</v>
      </c>
      <c r="E102" s="742">
        <v>7.1518336452600405E-3</v>
      </c>
      <c r="F102" s="742">
        <v>6.8919677962531187E-3</v>
      </c>
      <c r="G102" s="742">
        <v>7.0463422666727053E-3</v>
      </c>
      <c r="H102" s="742">
        <v>6.6762936940447694E-3</v>
      </c>
      <c r="I102" s="742">
        <v>6.9777455664162642E-3</v>
      </c>
      <c r="J102" s="742">
        <v>8.5995704844773722E-3</v>
      </c>
      <c r="K102" s="742">
        <v>8.1350619628952642E-3</v>
      </c>
      <c r="L102" s="742">
        <v>8.3606083749019292E-3</v>
      </c>
      <c r="M102" s="742">
        <v>7.8127286964641256E-3</v>
      </c>
      <c r="N102" s="742">
        <v>8.2277289328245469E-3</v>
      </c>
      <c r="O102" s="742">
        <v>1.1449914803057647E-2</v>
      </c>
      <c r="P102" s="742">
        <v>1.3550407109718436E-2</v>
      </c>
      <c r="Q102" s="742">
        <v>1.1716608877024368E-2</v>
      </c>
      <c r="R102" s="742">
        <v>1.3593281525455782E-2</v>
      </c>
      <c r="S102" s="742">
        <v>1.4436312855895883E-2</v>
      </c>
      <c r="T102" s="742">
        <v>1.4099612367342439E-2</v>
      </c>
      <c r="U102" s="742">
        <v>1.3143404854966062E-2</v>
      </c>
      <c r="V102" s="742">
        <v>1.4047109375507542E-2</v>
      </c>
      <c r="W102" s="742">
        <v>1.2104932844285855E-2</v>
      </c>
      <c r="X102" s="742">
        <v>1.3674271960005735E-2</v>
      </c>
    </row>
    <row r="103" spans="1:24" s="462" customFormat="1" x14ac:dyDescent="0.25">
      <c r="A103" s="33" t="s">
        <v>573</v>
      </c>
      <c r="B103" s="33" t="s">
        <v>173</v>
      </c>
      <c r="C103" s="33" t="s">
        <v>575</v>
      </c>
      <c r="D103" s="33">
        <v>60</v>
      </c>
      <c r="E103" s="742">
        <v>7.0394309014958894E-3</v>
      </c>
      <c r="F103" s="742">
        <v>6.8271655326802962E-3</v>
      </c>
      <c r="G103" s="742">
        <v>6.9166599842951674E-3</v>
      </c>
      <c r="H103" s="742">
        <v>6.6466859564911253E-3</v>
      </c>
      <c r="I103" s="742">
        <v>6.9468009631806658E-3</v>
      </c>
      <c r="J103" s="742">
        <v>8.4644141923159756E-3</v>
      </c>
      <c r="K103" s="742">
        <v>8.0585714096765779E-3</v>
      </c>
      <c r="L103" s="742">
        <v>8.2067380780742952E-3</v>
      </c>
      <c r="M103" s="742">
        <v>7.7780811462778501E-3</v>
      </c>
      <c r="N103" s="742">
        <v>8.1912409575991777E-3</v>
      </c>
      <c r="O103" s="742">
        <v>1.1349664481731254E-2</v>
      </c>
      <c r="P103" s="742">
        <v>1.3550019072829201E-2</v>
      </c>
      <c r="Q103" s="742">
        <v>1.1620205847012505E-2</v>
      </c>
      <c r="R103" s="742">
        <v>1.3592843424037668E-2</v>
      </c>
      <c r="S103" s="742">
        <v>1.4435847584200991E-2</v>
      </c>
      <c r="T103" s="742">
        <v>1.3992337967472668E-2</v>
      </c>
      <c r="U103" s="742">
        <v>1.3040138454278019E-2</v>
      </c>
      <c r="V103" s="742">
        <v>1.3948278324444844E-2</v>
      </c>
      <c r="W103" s="742">
        <v>1.2010018862851999E-2</v>
      </c>
      <c r="X103" s="742">
        <v>1.3567052893892026E-2</v>
      </c>
    </row>
    <row r="104" spans="1:24" s="462" customFormat="1" x14ac:dyDescent="0.25">
      <c r="A104" s="33" t="s">
        <v>573</v>
      </c>
      <c r="B104" s="33" t="s">
        <v>173</v>
      </c>
      <c r="C104" s="33" t="s">
        <v>575</v>
      </c>
      <c r="D104" s="33">
        <v>65</v>
      </c>
      <c r="E104" s="742">
        <v>7.1346241641447698E-3</v>
      </c>
      <c r="F104" s="742">
        <v>6.8497137806473873E-3</v>
      </c>
      <c r="G104" s="742">
        <v>6.9736162330043192E-3</v>
      </c>
      <c r="H104" s="742">
        <v>6.6899793604236852E-3</v>
      </c>
      <c r="I104" s="742">
        <v>6.9920491759150683E-3</v>
      </c>
      <c r="J104" s="742">
        <v>8.5788773093851169E-3</v>
      </c>
      <c r="K104" s="742">
        <v>8.0851866522008847E-3</v>
      </c>
      <c r="L104" s="742">
        <v>8.274317663615147E-3</v>
      </c>
      <c r="M104" s="742">
        <v>7.8287439293685986E-3</v>
      </c>
      <c r="N104" s="742">
        <v>8.2445948704826261E-3</v>
      </c>
      <c r="O104" s="742">
        <v>1.21372582045834E-2</v>
      </c>
      <c r="P104" s="742">
        <v>1.4531382980021207E-2</v>
      </c>
      <c r="Q104" s="742">
        <v>1.2344026572133966E-2</v>
      </c>
      <c r="R104" s="742">
        <v>1.4577346367224644E-2</v>
      </c>
      <c r="S104" s="742">
        <v>1.5481407662448612E-2</v>
      </c>
      <c r="T104" s="742">
        <v>1.4867048886724979E-2</v>
      </c>
      <c r="U104" s="742">
        <v>1.3881566847970876E-2</v>
      </c>
      <c r="V104" s="742">
        <v>1.475216910021322E-2</v>
      </c>
      <c r="W104" s="742">
        <v>1.2784966743693208E-2</v>
      </c>
      <c r="X104" s="742">
        <v>1.4442468578866689E-2</v>
      </c>
    </row>
    <row r="105" spans="1:24" s="462" customFormat="1" x14ac:dyDescent="0.25">
      <c r="A105" s="33" t="s">
        <v>573</v>
      </c>
      <c r="B105" s="33" t="s">
        <v>173</v>
      </c>
      <c r="C105" s="33" t="s">
        <v>575</v>
      </c>
      <c r="D105" s="33">
        <v>70</v>
      </c>
      <c r="E105" s="742">
        <v>7.3976208811135247E-3</v>
      </c>
      <c r="F105" s="742">
        <v>7.0652593301003706E-3</v>
      </c>
      <c r="G105" s="742">
        <v>7.1817561582930133E-3</v>
      </c>
      <c r="H105" s="742">
        <v>6.9004990512915318E-3</v>
      </c>
      <c r="I105" s="742">
        <v>7.2120743735642886E-3</v>
      </c>
      <c r="J105" s="742">
        <v>8.8951121264879834E-3</v>
      </c>
      <c r="K105" s="742">
        <v>8.3396098376341717E-3</v>
      </c>
      <c r="L105" s="742">
        <v>8.5212793263704009E-3</v>
      </c>
      <c r="M105" s="742">
        <v>8.0750981650249912E-3</v>
      </c>
      <c r="N105" s="742">
        <v>8.5040350675230445E-3</v>
      </c>
      <c r="O105" s="742">
        <v>1.2880108725365248E-2</v>
      </c>
      <c r="P105" s="742">
        <v>1.5459574378424443E-2</v>
      </c>
      <c r="Q105" s="742">
        <v>1.3021822356251156E-2</v>
      </c>
      <c r="R105" s="742">
        <v>1.5508444029344313E-2</v>
      </c>
      <c r="S105" s="742">
        <v>1.6470250358348128E-2</v>
      </c>
      <c r="T105" s="742">
        <v>1.5616815918854044E-2</v>
      </c>
      <c r="U105" s="742">
        <v>1.4602936872928452E-2</v>
      </c>
      <c r="V105" s="742">
        <v>1.5441241386569793E-2</v>
      </c>
      <c r="W105" s="742">
        <v>1.3449249889821076E-2</v>
      </c>
      <c r="X105" s="742">
        <v>1.5192872444418791E-2</v>
      </c>
    </row>
    <row r="106" spans="1:24" s="462" customFormat="1" x14ac:dyDescent="0.25">
      <c r="A106" s="33" t="s">
        <v>573</v>
      </c>
      <c r="B106" s="33" t="s">
        <v>173</v>
      </c>
      <c r="C106" s="33" t="s">
        <v>575</v>
      </c>
      <c r="D106" s="33">
        <v>75</v>
      </c>
      <c r="E106" s="742">
        <v>7.792155718345883E-3</v>
      </c>
      <c r="F106" s="742">
        <v>7.4502495786090712E-3</v>
      </c>
      <c r="G106" s="742">
        <v>7.5071328588817024E-3</v>
      </c>
      <c r="H106" s="742">
        <v>7.2765272902289404E-3</v>
      </c>
      <c r="I106" s="742">
        <v>7.6050812569243269E-3</v>
      </c>
      <c r="J106" s="742">
        <v>9.3695121628493052E-3</v>
      </c>
      <c r="K106" s="742">
        <v>8.7940402150412465E-3</v>
      </c>
      <c r="L106" s="742">
        <v>8.9073444740721038E-3</v>
      </c>
      <c r="M106" s="742">
        <v>8.5151337218261659E-3</v>
      </c>
      <c r="N106" s="742">
        <v>8.9674446421833202E-3</v>
      </c>
      <c r="O106" s="742">
        <v>1.2873458759886878E-2</v>
      </c>
      <c r="P106" s="742">
        <v>1.5456598951650158E-2</v>
      </c>
      <c r="Q106" s="742">
        <v>1.3005075920786742E-2</v>
      </c>
      <c r="R106" s="742">
        <v>1.5505426156952638E-2</v>
      </c>
      <c r="S106" s="742">
        <v>1.646704532283674E-2</v>
      </c>
      <c r="T106" s="742">
        <v>1.5165197177239164E-2</v>
      </c>
      <c r="U106" s="742">
        <v>1.417286257930399E-2</v>
      </c>
      <c r="V106" s="742">
        <v>1.5014499599634015E-2</v>
      </c>
      <c r="W106" s="742">
        <v>1.3053156732780841E-2</v>
      </c>
      <c r="X106" s="742">
        <v>1.474542795046423E-2</v>
      </c>
    </row>
    <row r="107" spans="1:24" s="462" customFormat="1" x14ac:dyDescent="0.25">
      <c r="A107" s="33" t="s">
        <v>573</v>
      </c>
      <c r="B107" s="33" t="s">
        <v>576</v>
      </c>
      <c r="C107" s="33" t="s">
        <v>577</v>
      </c>
      <c r="D107" s="744" t="s">
        <v>574</v>
      </c>
      <c r="E107" s="746">
        <v>3.9357247288119086</v>
      </c>
      <c r="F107" s="746">
        <v>2.9040050224254559</v>
      </c>
      <c r="G107" s="746">
        <v>3.7222750846989312</v>
      </c>
      <c r="H107" s="746">
        <v>3.3041900742837931</v>
      </c>
      <c r="I107" s="746">
        <v>3.4175996409530245</v>
      </c>
      <c r="J107" s="746">
        <v>5.2412016970522863</v>
      </c>
      <c r="K107" s="746">
        <v>3.7142656817886839</v>
      </c>
      <c r="L107" s="746">
        <v>4.8740667149953172</v>
      </c>
      <c r="M107" s="746">
        <v>4.1604028583454307</v>
      </c>
      <c r="N107" s="746">
        <v>4.3942294047134425</v>
      </c>
      <c r="O107" s="746">
        <v>3.0709878944999147</v>
      </c>
      <c r="P107" s="746">
        <v>2.8576075551937477</v>
      </c>
      <c r="Q107" s="746">
        <v>3.1762496670049414</v>
      </c>
      <c r="R107" s="746">
        <v>3.0750945702307315</v>
      </c>
      <c r="S107" s="746">
        <v>3.0692212411613822</v>
      </c>
      <c r="T107" s="746">
        <v>1.5895058087719622</v>
      </c>
      <c r="U107" s="746">
        <v>1.937855065849218</v>
      </c>
      <c r="V107" s="746">
        <v>1.7593739627867115</v>
      </c>
      <c r="W107" s="746">
        <v>2.3052061117595581</v>
      </c>
      <c r="X107" s="746">
        <v>2.0158861746753773</v>
      </c>
    </row>
    <row r="108" spans="1:24" s="462" customFormat="1" x14ac:dyDescent="0.25">
      <c r="A108" s="33" t="s">
        <v>573</v>
      </c>
      <c r="B108" s="33" t="s">
        <v>576</v>
      </c>
      <c r="C108" s="33" t="s">
        <v>577</v>
      </c>
      <c r="D108" s="33">
        <v>2.5</v>
      </c>
      <c r="E108" s="742">
        <v>20.21383698863886</v>
      </c>
      <c r="F108" s="742">
        <v>14.19377298921655</v>
      </c>
      <c r="G108" s="742">
        <v>20.568819682232892</v>
      </c>
      <c r="H108" s="742">
        <v>13.675043390479711</v>
      </c>
      <c r="I108" s="742">
        <v>16.287078390131292</v>
      </c>
      <c r="J108" s="742">
        <v>26.916182665903825</v>
      </c>
      <c r="K108" s="742">
        <v>18.153629835013628</v>
      </c>
      <c r="L108" s="742">
        <v>26.936875743079529</v>
      </c>
      <c r="M108" s="742">
        <v>17.219576522113762</v>
      </c>
      <c r="N108" s="742">
        <v>20.94334154683801</v>
      </c>
      <c r="O108" s="742">
        <v>30.421372740273576</v>
      </c>
      <c r="P108" s="742">
        <v>22.0522711110046</v>
      </c>
      <c r="Q108" s="742">
        <v>28.954130124942022</v>
      </c>
      <c r="R108" s="742">
        <v>18.891132229030148</v>
      </c>
      <c r="S108" s="742">
        <v>23.217963655903638</v>
      </c>
      <c r="T108" s="742">
        <v>15.745253674027573</v>
      </c>
      <c r="U108" s="742">
        <v>14.955236447374617</v>
      </c>
      <c r="V108" s="742">
        <v>16.045435968786126</v>
      </c>
      <c r="W108" s="742">
        <v>14.164399223040636</v>
      </c>
      <c r="X108" s="742">
        <v>15.252680730793543</v>
      </c>
    </row>
    <row r="109" spans="1:24" s="462" customFormat="1" x14ac:dyDescent="0.25">
      <c r="A109" s="33" t="s">
        <v>573</v>
      </c>
      <c r="B109" s="33" t="s">
        <v>576</v>
      </c>
      <c r="C109" s="33" t="s">
        <v>577</v>
      </c>
      <c r="D109" s="33">
        <v>5</v>
      </c>
      <c r="E109" s="742">
        <v>11.661028154297483</v>
      </c>
      <c r="F109" s="742">
        <v>8.5213068650313435</v>
      </c>
      <c r="G109" s="742">
        <v>11.865811797631252</v>
      </c>
      <c r="H109" s="742">
        <v>8.2098848002872202</v>
      </c>
      <c r="I109" s="742">
        <v>9.7780338605225232</v>
      </c>
      <c r="J109" s="742">
        <v>15.527500496305004</v>
      </c>
      <c r="K109" s="742">
        <v>10.898627916330932</v>
      </c>
      <c r="L109" s="742">
        <v>15.539437990194983</v>
      </c>
      <c r="M109" s="742">
        <v>10.337864057872306</v>
      </c>
      <c r="N109" s="742">
        <v>12.57344613270566</v>
      </c>
      <c r="O109" s="742">
        <v>15.210686545454889</v>
      </c>
      <c r="P109" s="742">
        <v>11.0261355555023</v>
      </c>
      <c r="Q109" s="742">
        <v>14.477065229333405</v>
      </c>
      <c r="R109" s="742">
        <v>9.4455661145150742</v>
      </c>
      <c r="S109" s="742">
        <v>11.608981827951819</v>
      </c>
      <c r="T109" s="742">
        <v>7.8726269277535428</v>
      </c>
      <c r="U109" s="742">
        <v>7.4776182236873083</v>
      </c>
      <c r="V109" s="742">
        <v>8.0227180768627697</v>
      </c>
      <c r="W109" s="742">
        <v>7.0821996115203181</v>
      </c>
      <c r="X109" s="742">
        <v>7.6263403653967714</v>
      </c>
    </row>
    <row r="110" spans="1:24" s="462" customFormat="1" x14ac:dyDescent="0.25">
      <c r="A110" s="33" t="s">
        <v>573</v>
      </c>
      <c r="B110" s="33" t="s">
        <v>576</v>
      </c>
      <c r="C110" s="33" t="s">
        <v>577</v>
      </c>
      <c r="D110" s="33">
        <v>10</v>
      </c>
      <c r="E110" s="742">
        <v>7.3510604870212104</v>
      </c>
      <c r="F110" s="742">
        <v>5.7089014007360079</v>
      </c>
      <c r="G110" s="742">
        <v>7.4801551885329571</v>
      </c>
      <c r="H110" s="742">
        <v>5.5002622929327618</v>
      </c>
      <c r="I110" s="742">
        <v>6.5508533006663194</v>
      </c>
      <c r="J110" s="742">
        <v>9.7884675219246589</v>
      </c>
      <c r="K110" s="742">
        <v>7.3016021090578764</v>
      </c>
      <c r="L110" s="742">
        <v>9.795992865186637</v>
      </c>
      <c r="M110" s="742">
        <v>6.9259149488907124</v>
      </c>
      <c r="N110" s="742">
        <v>8.4236567672085645</v>
      </c>
      <c r="O110" s="742">
        <v>8.8775748671397601</v>
      </c>
      <c r="P110" s="742">
        <v>6.4352373062057806</v>
      </c>
      <c r="Q110" s="742">
        <v>8.4494036509007291</v>
      </c>
      <c r="R110" s="742">
        <v>5.5127618495518789</v>
      </c>
      <c r="S110" s="742">
        <v>6.7754067207182311</v>
      </c>
      <c r="T110" s="742">
        <v>4.5947850376994559</v>
      </c>
      <c r="U110" s="742">
        <v>4.3641988176558968</v>
      </c>
      <c r="V110" s="742">
        <v>4.6823843323881196</v>
      </c>
      <c r="W110" s="742">
        <v>4.1334187232360238</v>
      </c>
      <c r="X110" s="742">
        <v>4.4509982470452769</v>
      </c>
    </row>
    <row r="111" spans="1:24" s="462" customFormat="1" x14ac:dyDescent="0.25">
      <c r="A111" s="33" t="s">
        <v>573</v>
      </c>
      <c r="B111" s="33" t="s">
        <v>576</v>
      </c>
      <c r="C111" s="33" t="s">
        <v>577</v>
      </c>
      <c r="D111" s="33">
        <v>15</v>
      </c>
      <c r="E111" s="742">
        <v>5.9473414098439061</v>
      </c>
      <c r="F111" s="742">
        <v>4.7926171210256037</v>
      </c>
      <c r="G111" s="742">
        <v>6.0517848796599694</v>
      </c>
      <c r="H111" s="742">
        <v>4.6174647948627383</v>
      </c>
      <c r="I111" s="742">
        <v>5.4994349144045227</v>
      </c>
      <c r="J111" s="742">
        <v>7.9193142723880188</v>
      </c>
      <c r="K111" s="742">
        <v>6.1296878019781422</v>
      </c>
      <c r="L111" s="742">
        <v>7.9254026164690217</v>
      </c>
      <c r="M111" s="742">
        <v>5.8142987998604116</v>
      </c>
      <c r="N111" s="742">
        <v>7.0716515858834352</v>
      </c>
      <c r="O111" s="742">
        <v>7.1367627439357912</v>
      </c>
      <c r="P111" s="742">
        <v>5.1733903283334337</v>
      </c>
      <c r="Q111" s="742">
        <v>6.7925520298824251</v>
      </c>
      <c r="R111" s="742">
        <v>4.4317975356362478</v>
      </c>
      <c r="S111" s="742">
        <v>5.4468579683436129</v>
      </c>
      <c r="T111" s="742">
        <v>3.6937892571118591</v>
      </c>
      <c r="U111" s="742">
        <v>3.50844932049554</v>
      </c>
      <c r="V111" s="742">
        <v>3.7642111225520689</v>
      </c>
      <c r="W111" s="742">
        <v>3.3229215067360851</v>
      </c>
      <c r="X111" s="742">
        <v>3.5782287718414669</v>
      </c>
    </row>
    <row r="112" spans="1:24" s="462" customFormat="1" x14ac:dyDescent="0.25">
      <c r="A112" s="33" t="s">
        <v>573</v>
      </c>
      <c r="B112" s="33" t="s">
        <v>576</v>
      </c>
      <c r="C112" s="33" t="s">
        <v>577</v>
      </c>
      <c r="D112" s="33">
        <v>20</v>
      </c>
      <c r="E112" s="742">
        <v>5.1616045990507811</v>
      </c>
      <c r="F112" s="742">
        <v>4.2207858953354904</v>
      </c>
      <c r="G112" s="742">
        <v>5.252249453111304</v>
      </c>
      <c r="H112" s="742">
        <v>4.0665318731311846</v>
      </c>
      <c r="I112" s="742">
        <v>4.8432697069001156</v>
      </c>
      <c r="J112" s="742">
        <v>6.8730490067425469</v>
      </c>
      <c r="K112" s="742">
        <v>5.3983239562151395</v>
      </c>
      <c r="L112" s="742">
        <v>6.8783329853547555</v>
      </c>
      <c r="M112" s="742">
        <v>5.1205656003801998</v>
      </c>
      <c r="N112" s="742">
        <v>6.227897308858318</v>
      </c>
      <c r="O112" s="742">
        <v>5.8651377063166308</v>
      </c>
      <c r="P112" s="742">
        <v>4.2516096544531052</v>
      </c>
      <c r="Q112" s="742">
        <v>5.5822582958124762</v>
      </c>
      <c r="R112" s="742">
        <v>3.6421518565683866</v>
      </c>
      <c r="S112" s="742">
        <v>4.476351571195802</v>
      </c>
      <c r="T112" s="742">
        <v>3.035631620160383</v>
      </c>
      <c r="U112" s="742">
        <v>2.8833233250319092</v>
      </c>
      <c r="V112" s="742">
        <v>3.0935057506537205</v>
      </c>
      <c r="W112" s="742">
        <v>2.7308523545294028</v>
      </c>
      <c r="X112" s="742">
        <v>2.9406696627710054</v>
      </c>
    </row>
    <row r="113" spans="1:24" s="462" customFormat="1" x14ac:dyDescent="0.25">
      <c r="A113" s="33" t="s">
        <v>573</v>
      </c>
      <c r="B113" s="33" t="s">
        <v>576</v>
      </c>
      <c r="C113" s="33" t="s">
        <v>577</v>
      </c>
      <c r="D113" s="33">
        <v>25</v>
      </c>
      <c r="E113" s="742">
        <v>4.6831604584297226</v>
      </c>
      <c r="F113" s="742">
        <v>3.6235720304259158</v>
      </c>
      <c r="G113" s="742">
        <v>4.7654031773653118</v>
      </c>
      <c r="H113" s="742">
        <v>3.4911439532145288</v>
      </c>
      <c r="I113" s="742">
        <v>4.1579784146661671</v>
      </c>
      <c r="J113" s="742">
        <v>6.2359661069632653</v>
      </c>
      <c r="K113" s="742">
        <v>4.6344960829538895</v>
      </c>
      <c r="L113" s="742">
        <v>6.2407602982316996</v>
      </c>
      <c r="M113" s="742">
        <v>4.3960387353464547</v>
      </c>
      <c r="N113" s="742">
        <v>5.3466901795903752</v>
      </c>
      <c r="O113" s="742">
        <v>5.318746227752408</v>
      </c>
      <c r="P113" s="742">
        <v>3.8555273223996638</v>
      </c>
      <c r="Q113" s="742">
        <v>5.0622196340276924</v>
      </c>
      <c r="R113" s="742">
        <v>3.3028469536520477</v>
      </c>
      <c r="S113" s="742">
        <v>4.0593321565481553</v>
      </c>
      <c r="T113" s="742">
        <v>2.7528346369745638</v>
      </c>
      <c r="U113" s="742">
        <v>2.6147113122977288</v>
      </c>
      <c r="V113" s="742">
        <v>2.8053172603432146</v>
      </c>
      <c r="W113" s="742">
        <v>2.4764446226383217</v>
      </c>
      <c r="X113" s="742">
        <v>2.6667152331565185</v>
      </c>
    </row>
    <row r="114" spans="1:24" s="462" customFormat="1" x14ac:dyDescent="0.25">
      <c r="A114" s="33" t="s">
        <v>573</v>
      </c>
      <c r="B114" s="33" t="s">
        <v>576</v>
      </c>
      <c r="C114" s="33" t="s">
        <v>577</v>
      </c>
      <c r="D114" s="33">
        <v>30</v>
      </c>
      <c r="E114" s="742">
        <v>4.3630212791722549</v>
      </c>
      <c r="F114" s="742">
        <v>3.3865971510914172</v>
      </c>
      <c r="G114" s="742">
        <v>4.4396419151632909</v>
      </c>
      <c r="H114" s="742">
        <v>3.2628296241200041</v>
      </c>
      <c r="I114" s="742">
        <v>3.8860543505610723</v>
      </c>
      <c r="J114" s="742">
        <v>5.8096776871917157</v>
      </c>
      <c r="K114" s="742">
        <v>4.331408648562495</v>
      </c>
      <c r="L114" s="742">
        <v>5.8141441492543056</v>
      </c>
      <c r="M114" s="742">
        <v>4.1085459685099526</v>
      </c>
      <c r="N114" s="742">
        <v>4.997026574311235</v>
      </c>
      <c r="O114" s="742">
        <v>4.8771667462007233</v>
      </c>
      <c r="P114" s="742">
        <v>3.5354289978640612</v>
      </c>
      <c r="Q114" s="742">
        <v>4.6419378183939859</v>
      </c>
      <c r="R114" s="742">
        <v>3.0286339374663607</v>
      </c>
      <c r="S114" s="742">
        <v>3.7223132967684696</v>
      </c>
      <c r="T114" s="742">
        <v>2.5242854188430499</v>
      </c>
      <c r="U114" s="742">
        <v>2.3976295384640354</v>
      </c>
      <c r="V114" s="742">
        <v>2.5724107653977266</v>
      </c>
      <c r="W114" s="742">
        <v>2.270842195726106</v>
      </c>
      <c r="X114" s="742">
        <v>2.4453159259365433</v>
      </c>
    </row>
    <row r="115" spans="1:24" s="462" customFormat="1" x14ac:dyDescent="0.25">
      <c r="A115" s="33" t="s">
        <v>573</v>
      </c>
      <c r="B115" s="33" t="s">
        <v>576</v>
      </c>
      <c r="C115" s="33" t="s">
        <v>577</v>
      </c>
      <c r="D115" s="33">
        <v>35</v>
      </c>
      <c r="E115" s="742">
        <v>4.137483914564541</v>
      </c>
      <c r="F115" s="742">
        <v>3.1039496216263749</v>
      </c>
      <c r="G115" s="742">
        <v>4.2101438051889488</v>
      </c>
      <c r="H115" s="742">
        <v>2.9905118103447053</v>
      </c>
      <c r="I115" s="742">
        <v>3.5617218089125968</v>
      </c>
      <c r="J115" s="742">
        <v>5.509358410491318</v>
      </c>
      <c r="K115" s="742">
        <v>3.9699065569348697</v>
      </c>
      <c r="L115" s="742">
        <v>5.5135939880318627</v>
      </c>
      <c r="M115" s="742">
        <v>3.7656441364102449</v>
      </c>
      <c r="N115" s="742">
        <v>4.5799715917175563</v>
      </c>
      <c r="O115" s="742">
        <v>4.1707396472889577</v>
      </c>
      <c r="P115" s="742">
        <v>3.0233505742422717</v>
      </c>
      <c r="Q115" s="742">
        <v>3.9695821584339619</v>
      </c>
      <c r="R115" s="742">
        <v>2.5899606977089769</v>
      </c>
      <c r="S115" s="742">
        <v>3.1831661872133883</v>
      </c>
      <c r="T115" s="742">
        <v>2.1586584640854167</v>
      </c>
      <c r="U115" s="742">
        <v>2.0503522051538585</v>
      </c>
      <c r="V115" s="742">
        <v>2.1998131551919835</v>
      </c>
      <c r="W115" s="742">
        <v>1.9419289881397546</v>
      </c>
      <c r="X115" s="742">
        <v>2.0911316033642735</v>
      </c>
    </row>
    <row r="116" spans="1:24" s="462" customFormat="1" x14ac:dyDescent="0.25">
      <c r="A116" s="33" t="s">
        <v>573</v>
      </c>
      <c r="B116" s="33" t="s">
        <v>576</v>
      </c>
      <c r="C116" s="33" t="s">
        <v>577</v>
      </c>
      <c r="D116" s="33">
        <v>40</v>
      </c>
      <c r="E116" s="742">
        <v>3.9712028261730965</v>
      </c>
      <c r="F116" s="742">
        <v>2.8654692576766507</v>
      </c>
      <c r="G116" s="742">
        <v>4.0409425928900964</v>
      </c>
      <c r="H116" s="742">
        <v>2.760747016496901</v>
      </c>
      <c r="I116" s="742">
        <v>3.2880702304980978</v>
      </c>
      <c r="J116" s="742">
        <v>5.2879431417551066</v>
      </c>
      <c r="K116" s="742">
        <v>3.6648936295510293</v>
      </c>
      <c r="L116" s="742">
        <v>5.2920084959285161</v>
      </c>
      <c r="M116" s="742">
        <v>3.4763249483991596</v>
      </c>
      <c r="N116" s="742">
        <v>4.2280865983329337</v>
      </c>
      <c r="O116" s="742">
        <v>3.8958426211737529</v>
      </c>
      <c r="P116" s="742">
        <v>2.8240730101635045</v>
      </c>
      <c r="Q116" s="742">
        <v>3.7079435948801844</v>
      </c>
      <c r="R116" s="742">
        <v>2.4192490828217283</v>
      </c>
      <c r="S116" s="742">
        <v>2.9733547253041914</v>
      </c>
      <c r="T116" s="742">
        <v>2.0163794338991954</v>
      </c>
      <c r="U116" s="742">
        <v>1.9152077080427379</v>
      </c>
      <c r="V116" s="742">
        <v>2.0548215840291899</v>
      </c>
      <c r="W116" s="742">
        <v>1.8139309710829916</v>
      </c>
      <c r="X116" s="742">
        <v>1.9532992210938189</v>
      </c>
    </row>
    <row r="117" spans="1:24" s="462" customFormat="1" x14ac:dyDescent="0.25">
      <c r="A117" s="33" t="s">
        <v>573</v>
      </c>
      <c r="B117" s="33" t="s">
        <v>576</v>
      </c>
      <c r="C117" s="33" t="s">
        <v>577</v>
      </c>
      <c r="D117" s="33">
        <v>45</v>
      </c>
      <c r="E117" s="742">
        <v>3.8442376973104899</v>
      </c>
      <c r="F117" s="742">
        <v>2.716717182242999</v>
      </c>
      <c r="G117" s="742">
        <v>3.9117477822772377</v>
      </c>
      <c r="H117" s="742">
        <v>2.6174312760292651</v>
      </c>
      <c r="I117" s="742">
        <v>3.1173801176490876</v>
      </c>
      <c r="J117" s="742">
        <v>5.1188799103366147</v>
      </c>
      <c r="K117" s="742">
        <v>3.4746418820654164</v>
      </c>
      <c r="L117" s="742">
        <v>5.1228152892256853</v>
      </c>
      <c r="M117" s="742">
        <v>3.295862167452964</v>
      </c>
      <c r="N117" s="742">
        <v>4.0085984098171084</v>
      </c>
      <c r="O117" s="742">
        <v>3.6820337841245707</v>
      </c>
      <c r="P117" s="742">
        <v>2.6690842632456109</v>
      </c>
      <c r="Q117" s="742">
        <v>3.5044468972578247</v>
      </c>
      <c r="R117" s="742">
        <v>2.2864775919716762</v>
      </c>
      <c r="S117" s="742">
        <v>2.8101732064982685</v>
      </c>
      <c r="T117" s="742">
        <v>1.9057179458121876</v>
      </c>
      <c r="U117" s="742">
        <v>1.8100986539606518</v>
      </c>
      <c r="V117" s="742">
        <v>1.94205034146486</v>
      </c>
      <c r="W117" s="742">
        <v>1.7143801141497872</v>
      </c>
      <c r="X117" s="742">
        <v>1.8460996559467755</v>
      </c>
    </row>
    <row r="118" spans="1:24" s="462" customFormat="1" x14ac:dyDescent="0.25">
      <c r="A118" s="33" t="s">
        <v>573</v>
      </c>
      <c r="B118" s="33" t="s">
        <v>576</v>
      </c>
      <c r="C118" s="33" t="s">
        <v>577</v>
      </c>
      <c r="D118" s="33">
        <v>50</v>
      </c>
      <c r="E118" s="742">
        <v>3.7115022254281449</v>
      </c>
      <c r="F118" s="742">
        <v>2.6561693260558137</v>
      </c>
      <c r="G118" s="742">
        <v>3.7766812935092431</v>
      </c>
      <c r="H118" s="742">
        <v>2.559096218734116</v>
      </c>
      <c r="I118" s="742">
        <v>3.0479026305267913</v>
      </c>
      <c r="J118" s="742">
        <v>4.9421330507751078</v>
      </c>
      <c r="K118" s="742">
        <v>3.3972020519821209</v>
      </c>
      <c r="L118" s="742">
        <v>4.9459325472305178</v>
      </c>
      <c r="M118" s="742">
        <v>3.222406825898799</v>
      </c>
      <c r="N118" s="742">
        <v>3.919258215844692</v>
      </c>
      <c r="O118" s="742">
        <v>3.4491019501044007</v>
      </c>
      <c r="P118" s="742">
        <v>2.5002333702220989</v>
      </c>
      <c r="Q118" s="742">
        <v>3.2827495172598189</v>
      </c>
      <c r="R118" s="742">
        <v>2.1418310596013566</v>
      </c>
      <c r="S118" s="742">
        <v>2.6323967825756363</v>
      </c>
      <c r="T118" s="742">
        <v>1.7851589280874969</v>
      </c>
      <c r="U118" s="742">
        <v>1.6955886782395189</v>
      </c>
      <c r="V118" s="742">
        <v>1.8191928734678735</v>
      </c>
      <c r="W118" s="742">
        <v>1.6059254590300047</v>
      </c>
      <c r="X118" s="742">
        <v>1.7293121944906265</v>
      </c>
    </row>
    <row r="119" spans="1:24" s="462" customFormat="1" x14ac:dyDescent="0.25">
      <c r="A119" s="33" t="s">
        <v>573</v>
      </c>
      <c r="B119" s="33" t="s">
        <v>576</v>
      </c>
      <c r="C119" s="33" t="s">
        <v>577</v>
      </c>
      <c r="D119" s="33">
        <v>55</v>
      </c>
      <c r="E119" s="742">
        <v>3.5961042435862516</v>
      </c>
      <c r="F119" s="742">
        <v>2.6601405906002</v>
      </c>
      <c r="G119" s="742">
        <v>3.6592567648790011</v>
      </c>
      <c r="H119" s="742">
        <v>2.5629223483333998</v>
      </c>
      <c r="I119" s="742">
        <v>3.0524595793374774</v>
      </c>
      <c r="J119" s="742">
        <v>4.7884723103486966</v>
      </c>
      <c r="K119" s="742">
        <v>3.4022812417486805</v>
      </c>
      <c r="L119" s="742">
        <v>4.7921536729067409</v>
      </c>
      <c r="M119" s="742">
        <v>3.2272246776260016</v>
      </c>
      <c r="N119" s="742">
        <v>3.9251179368497495</v>
      </c>
      <c r="O119" s="742">
        <v>3.2316620122469328</v>
      </c>
      <c r="P119" s="742">
        <v>2.3425996878028106</v>
      </c>
      <c r="Q119" s="742">
        <v>3.0757968491854522</v>
      </c>
      <c r="R119" s="742">
        <v>2.006793778255505</v>
      </c>
      <c r="S119" s="742">
        <v>2.4664305158390145</v>
      </c>
      <c r="T119" s="742">
        <v>1.6726180835417741</v>
      </c>
      <c r="U119" s="742">
        <v>1.5886859025215843</v>
      </c>
      <c r="V119" s="742">
        <v>1.704506444629309</v>
      </c>
      <c r="W119" s="742">
        <v>1.5046757329793132</v>
      </c>
      <c r="X119" s="742">
        <v>1.6202832324278083</v>
      </c>
    </row>
    <row r="120" spans="1:24" s="462" customFormat="1" x14ac:dyDescent="0.25">
      <c r="A120" s="33" t="s">
        <v>573</v>
      </c>
      <c r="B120" s="33" t="s">
        <v>576</v>
      </c>
      <c r="C120" s="33" t="s">
        <v>577</v>
      </c>
      <c r="D120" s="33">
        <v>60</v>
      </c>
      <c r="E120" s="742">
        <v>3.5462975610018495</v>
      </c>
      <c r="F120" s="742">
        <v>2.7282034953741339</v>
      </c>
      <c r="G120" s="742">
        <v>3.6085754086563013</v>
      </c>
      <c r="H120" s="742">
        <v>2.6284978071471179</v>
      </c>
      <c r="I120" s="742">
        <v>3.1305604385209591</v>
      </c>
      <c r="J120" s="742">
        <v>4.7221511182277762</v>
      </c>
      <c r="K120" s="742">
        <v>3.4893327100017295</v>
      </c>
      <c r="L120" s="742">
        <v>4.7257814932604365</v>
      </c>
      <c r="M120" s="742">
        <v>3.3097971125918502</v>
      </c>
      <c r="N120" s="742">
        <v>4.0255468124160538</v>
      </c>
      <c r="O120" s="742">
        <v>3.1246257545118636</v>
      </c>
      <c r="P120" s="742">
        <v>2.2650289350321051</v>
      </c>
      <c r="Q120" s="742">
        <v>2.9739230198547588</v>
      </c>
      <c r="R120" s="742">
        <v>1.9403426023053989</v>
      </c>
      <c r="S120" s="742">
        <v>2.3847593396809916</v>
      </c>
      <c r="T120" s="742">
        <v>1.6172191032016741</v>
      </c>
      <c r="U120" s="742">
        <v>1.5360795771573075</v>
      </c>
      <c r="V120" s="742">
        <v>1.6480512861297423</v>
      </c>
      <c r="W120" s="742">
        <v>1.4548512452997757</v>
      </c>
      <c r="X120" s="742">
        <v>1.5666306213156369</v>
      </c>
    </row>
    <row r="121" spans="1:24" s="462" customFormat="1" x14ac:dyDescent="0.25">
      <c r="A121" s="33" t="s">
        <v>573</v>
      </c>
      <c r="B121" s="33" t="s">
        <v>576</v>
      </c>
      <c r="C121" s="33" t="s">
        <v>577</v>
      </c>
      <c r="D121" s="33">
        <v>65</v>
      </c>
      <c r="E121" s="742">
        <v>3.7269692079901438</v>
      </c>
      <c r="F121" s="742">
        <v>2.84363659036371</v>
      </c>
      <c r="G121" s="742">
        <v>3.7924198974924854</v>
      </c>
      <c r="H121" s="742">
        <v>2.7397122519518291</v>
      </c>
      <c r="I121" s="742">
        <v>3.263017669472803</v>
      </c>
      <c r="J121" s="742">
        <v>4.9627284542189525</v>
      </c>
      <c r="K121" s="742">
        <v>3.6369699646445071</v>
      </c>
      <c r="L121" s="742">
        <v>4.9665437843562117</v>
      </c>
      <c r="M121" s="742">
        <v>3.4498380315122494</v>
      </c>
      <c r="N121" s="742">
        <v>4.1958718370597481</v>
      </c>
      <c r="O121" s="742">
        <v>3.0843750857664007</v>
      </c>
      <c r="P121" s="742">
        <v>2.2358577568568365</v>
      </c>
      <c r="Q121" s="742">
        <v>2.9356136670710429</v>
      </c>
      <c r="R121" s="742">
        <v>1.91535304084882</v>
      </c>
      <c r="S121" s="742">
        <v>2.3540461604685667</v>
      </c>
      <c r="T121" s="742">
        <v>1.596386480185042</v>
      </c>
      <c r="U121" s="742">
        <v>1.5162964960921592</v>
      </c>
      <c r="V121" s="742">
        <v>1.6268214904341276</v>
      </c>
      <c r="W121" s="742">
        <v>1.4361142992772522</v>
      </c>
      <c r="X121" s="742">
        <v>1.5464540750992055</v>
      </c>
    </row>
    <row r="122" spans="1:24" s="462" customFormat="1" x14ac:dyDescent="0.25">
      <c r="A122" s="33" t="s">
        <v>573</v>
      </c>
      <c r="B122" s="33" t="s">
        <v>576</v>
      </c>
      <c r="C122" s="33" t="s">
        <v>577</v>
      </c>
      <c r="D122" s="33">
        <v>70</v>
      </c>
      <c r="E122" s="742">
        <v>4.3026091686986465</v>
      </c>
      <c r="F122" s="742">
        <v>3.0878043535087851</v>
      </c>
      <c r="G122" s="742">
        <v>4.3781688851960867</v>
      </c>
      <c r="H122" s="742">
        <v>2.9749565917127949</v>
      </c>
      <c r="I122" s="742">
        <v>3.5431954278255775</v>
      </c>
      <c r="J122" s="742">
        <v>5.7292346025040173</v>
      </c>
      <c r="K122" s="742">
        <v>3.9492569931285129</v>
      </c>
      <c r="L122" s="742">
        <v>5.7336392201743198</v>
      </c>
      <c r="M122" s="742">
        <v>3.7460570484645594</v>
      </c>
      <c r="N122" s="742">
        <v>4.55614876005688</v>
      </c>
      <c r="O122" s="742">
        <v>3.0498832659382344</v>
      </c>
      <c r="P122" s="742">
        <v>2.2108484886502127</v>
      </c>
      <c r="Q122" s="742">
        <v>2.9027854101716208</v>
      </c>
      <c r="R122" s="742">
        <v>1.8939287897925716</v>
      </c>
      <c r="S122" s="742">
        <v>2.3277148915775188</v>
      </c>
      <c r="T122" s="742">
        <v>1.5785344766771807</v>
      </c>
      <c r="U122" s="742">
        <v>1.4993359065218981</v>
      </c>
      <c r="V122" s="742">
        <v>1.6086291395752501</v>
      </c>
      <c r="W122" s="742">
        <v>1.4200505905838674</v>
      </c>
      <c r="X122" s="742">
        <v>1.5291561568328158</v>
      </c>
    </row>
    <row r="123" spans="1:24" x14ac:dyDescent="0.25">
      <c r="A123" s="33" t="s">
        <v>573</v>
      </c>
      <c r="B123" s="33" t="s">
        <v>576</v>
      </c>
      <c r="C123" s="33" t="s">
        <v>577</v>
      </c>
      <c r="D123" s="33">
        <v>75</v>
      </c>
      <c r="E123" s="742">
        <v>5.6928729374894926</v>
      </c>
      <c r="F123" s="742">
        <v>3.9974037712595467</v>
      </c>
      <c r="G123" s="742">
        <v>5.7928475920181901</v>
      </c>
      <c r="H123" s="742">
        <v>3.8513135346586127</v>
      </c>
      <c r="I123" s="742">
        <v>4.5869430650309644</v>
      </c>
      <c r="J123" s="742">
        <v>7.5804711379324194</v>
      </c>
      <c r="K123" s="742">
        <v>5.112621458696359</v>
      </c>
      <c r="L123" s="742">
        <v>7.5862989804698424</v>
      </c>
      <c r="M123" s="742">
        <v>4.8495632684336227</v>
      </c>
      <c r="N123" s="742">
        <v>5.8982902252777265</v>
      </c>
      <c r="O123" s="742">
        <v>2.9055152718499695</v>
      </c>
      <c r="P123" s="742">
        <v>2.106197018799242</v>
      </c>
      <c r="Q123" s="742">
        <v>2.7653803784396138</v>
      </c>
      <c r="R123" s="742">
        <v>1.8042788510191232</v>
      </c>
      <c r="S123" s="742">
        <v>2.2175314999755442</v>
      </c>
      <c r="T123" s="742">
        <v>1.5038136312788737</v>
      </c>
      <c r="U123" s="742">
        <v>1.4283641926195807</v>
      </c>
      <c r="V123" s="742">
        <v>1.5324837458462319</v>
      </c>
      <c r="W123" s="742">
        <v>1.3528318814184686</v>
      </c>
      <c r="X123" s="742">
        <v>1.4567728884787203</v>
      </c>
    </row>
    <row r="124" spans="1:24" x14ac:dyDescent="0.25">
      <c r="A124" s="2"/>
      <c r="B124" s="2"/>
      <c r="C124" s="2"/>
      <c r="D124" s="2"/>
      <c r="E124" s="704"/>
      <c r="F124" s="704"/>
      <c r="G124" s="704"/>
      <c r="H124" s="704"/>
      <c r="I124" s="704"/>
      <c r="J124" s="704"/>
      <c r="K124" s="704"/>
      <c r="L124" s="704"/>
      <c r="M124" s="704"/>
      <c r="N124" s="704"/>
      <c r="O124" s="704"/>
      <c r="P124" s="704"/>
      <c r="Q124" s="704"/>
      <c r="R124" s="704"/>
      <c r="S124" s="704"/>
      <c r="T124" s="704"/>
      <c r="U124" s="704"/>
      <c r="V124" s="704"/>
      <c r="W124" s="704"/>
      <c r="X124" s="704"/>
    </row>
    <row r="125" spans="1:24" x14ac:dyDescent="0.25">
      <c r="A125" s="2"/>
      <c r="B125" s="2"/>
      <c r="C125" s="2"/>
      <c r="D125" s="2"/>
      <c r="E125" s="704"/>
      <c r="F125" s="704"/>
      <c r="G125" s="704"/>
      <c r="H125" s="704"/>
      <c r="I125" s="704"/>
      <c r="J125" s="704"/>
      <c r="K125" s="704"/>
      <c r="L125" s="704"/>
      <c r="M125" s="704"/>
      <c r="N125" s="704"/>
      <c r="O125" s="704"/>
      <c r="P125" s="704"/>
      <c r="Q125" s="704"/>
      <c r="R125" s="704"/>
      <c r="S125" s="704"/>
      <c r="T125" s="704"/>
      <c r="U125" s="704"/>
      <c r="V125" s="704"/>
      <c r="W125" s="704"/>
      <c r="X125" s="704"/>
    </row>
    <row r="126" spans="1:24" x14ac:dyDescent="0.25">
      <c r="A126" s="2"/>
      <c r="B126" s="2"/>
      <c r="C126" s="2"/>
      <c r="D126" s="2"/>
      <c r="E126" s="704"/>
      <c r="F126" s="704"/>
      <c r="G126" s="704"/>
      <c r="H126" s="704"/>
      <c r="I126" s="704"/>
      <c r="J126" s="704"/>
      <c r="K126" s="704"/>
      <c r="L126" s="704"/>
      <c r="M126" s="704"/>
      <c r="N126" s="704"/>
      <c r="O126" s="704"/>
      <c r="P126" s="704"/>
      <c r="Q126" s="704"/>
      <c r="R126" s="704"/>
      <c r="S126" s="704"/>
      <c r="T126" s="704"/>
      <c r="U126" s="704"/>
      <c r="V126" s="704"/>
      <c r="W126" s="704"/>
      <c r="X126" s="704"/>
    </row>
    <row r="127" spans="1:24" x14ac:dyDescent="0.25">
      <c r="A127" s="2"/>
      <c r="B127" s="2"/>
      <c r="C127" s="2"/>
      <c r="D127" s="2"/>
      <c r="E127" s="704"/>
      <c r="F127" s="704"/>
      <c r="G127" s="704"/>
      <c r="H127" s="704"/>
      <c r="I127" s="704"/>
      <c r="J127" s="704"/>
      <c r="K127" s="704"/>
      <c r="L127" s="704"/>
      <c r="M127" s="704"/>
      <c r="N127" s="704"/>
      <c r="O127" s="704"/>
      <c r="P127" s="704"/>
      <c r="Q127" s="704"/>
      <c r="R127" s="704"/>
      <c r="S127" s="704"/>
      <c r="T127" s="704"/>
      <c r="U127" s="704"/>
      <c r="V127" s="704"/>
      <c r="W127" s="704"/>
      <c r="X127" s="704"/>
    </row>
    <row r="128" spans="1:24" x14ac:dyDescent="0.25">
      <c r="A128" s="2"/>
      <c r="B128" s="2"/>
      <c r="C128" s="2"/>
      <c r="D128" s="2"/>
      <c r="E128" s="704"/>
      <c r="F128" s="704"/>
      <c r="G128" s="704"/>
      <c r="H128" s="704"/>
      <c r="I128" s="704"/>
      <c r="J128" s="704"/>
      <c r="K128" s="704"/>
      <c r="L128" s="704"/>
      <c r="M128" s="704"/>
      <c r="N128" s="704"/>
      <c r="O128" s="704"/>
      <c r="P128" s="704"/>
      <c r="Q128" s="704"/>
      <c r="R128" s="704"/>
      <c r="S128" s="704"/>
      <c r="T128" s="704"/>
      <c r="U128" s="704"/>
      <c r="V128" s="704"/>
      <c r="W128" s="704"/>
      <c r="X128" s="704"/>
    </row>
    <row r="129" spans="1:14" x14ac:dyDescent="0.25">
      <c r="J129" s="462"/>
      <c r="K129" s="462"/>
      <c r="L129" s="462"/>
      <c r="M129" s="462"/>
      <c r="N129" s="462"/>
    </row>
    <row r="130" spans="1:14" x14ac:dyDescent="0.25">
      <c r="A130" s="462"/>
      <c r="B130" s="462"/>
      <c r="C130" s="462"/>
      <c r="D130" s="462"/>
    </row>
    <row r="131" spans="1:14" x14ac:dyDescent="0.25">
      <c r="A131" s="462"/>
      <c r="B131" s="462"/>
      <c r="C131" s="462"/>
      <c r="D131" s="462"/>
    </row>
    <row r="132" spans="1:14" x14ac:dyDescent="0.25">
      <c r="A132" s="462"/>
      <c r="B132" s="462"/>
      <c r="C132" s="462"/>
      <c r="D132" s="462"/>
    </row>
    <row r="133" spans="1:14" x14ac:dyDescent="0.25">
      <c r="A133" s="462"/>
      <c r="B133" s="462"/>
      <c r="C133" s="462"/>
      <c r="D133" s="462"/>
    </row>
    <row r="134" spans="1:14" x14ac:dyDescent="0.25">
      <c r="A134" s="462"/>
      <c r="B134" s="462"/>
      <c r="C134" s="462"/>
      <c r="D134" s="462"/>
    </row>
    <row r="135" spans="1:14" x14ac:dyDescent="0.25">
      <c r="A135" s="462"/>
      <c r="B135" s="462"/>
      <c r="C135" s="462"/>
      <c r="D135" s="462"/>
    </row>
    <row r="136" spans="1:14" x14ac:dyDescent="0.25">
      <c r="A136" s="462"/>
      <c r="B136" s="462"/>
      <c r="C136" s="462"/>
      <c r="D136" s="462"/>
    </row>
    <row r="137" spans="1:14" x14ac:dyDescent="0.25">
      <c r="A137" s="462"/>
      <c r="B137" s="462"/>
      <c r="C137" s="462"/>
      <c r="D137" s="462"/>
    </row>
    <row r="138" spans="1:14" x14ac:dyDescent="0.25">
      <c r="A138" s="462"/>
      <c r="B138" s="462"/>
      <c r="C138" s="462"/>
      <c r="D138" s="462"/>
    </row>
    <row r="139" spans="1:14" x14ac:dyDescent="0.25">
      <c r="A139" s="462"/>
      <c r="B139" s="462"/>
      <c r="C139" s="462"/>
      <c r="D139" s="462"/>
    </row>
    <row r="140" spans="1:14" x14ac:dyDescent="0.25">
      <c r="A140" s="462"/>
      <c r="B140" s="462"/>
      <c r="C140" s="462"/>
      <c r="D140" s="462"/>
    </row>
    <row r="141" spans="1:14" x14ac:dyDescent="0.25">
      <c r="A141" s="462"/>
      <c r="B141" s="462"/>
      <c r="C141" s="462"/>
      <c r="D141" s="462"/>
    </row>
    <row r="200" spans="5:8" x14ac:dyDescent="0.25">
      <c r="E200" s="132"/>
      <c r="F200" s="132"/>
      <c r="G200" s="132"/>
      <c r="H200" s="132"/>
    </row>
    <row r="201" spans="5:8" x14ac:dyDescent="0.25">
      <c r="E201" s="132"/>
      <c r="F201" s="132"/>
      <c r="G201" s="132"/>
      <c r="H201" s="132"/>
    </row>
    <row r="202" spans="5:8" x14ac:dyDescent="0.25">
      <c r="E202" s="132"/>
      <c r="F202" s="132"/>
      <c r="G202" s="132"/>
      <c r="H202" s="132"/>
    </row>
    <row r="203" spans="5:8" x14ac:dyDescent="0.25">
      <c r="E203" s="132"/>
      <c r="F203" s="132"/>
      <c r="G203" s="132"/>
      <c r="H203" s="132"/>
    </row>
    <row r="204" spans="5:8" x14ac:dyDescent="0.25">
      <c r="E204" s="132"/>
      <c r="F204" s="132"/>
      <c r="G204" s="132"/>
      <c r="H204" s="132"/>
    </row>
    <row r="205" spans="5:8" x14ac:dyDescent="0.25">
      <c r="E205" s="132"/>
      <c r="F205" s="132"/>
      <c r="G205" s="132"/>
      <c r="H205" s="132"/>
    </row>
    <row r="206" spans="5:8" x14ac:dyDescent="0.25">
      <c r="E206" s="132"/>
      <c r="F206" s="132"/>
      <c r="G206" s="132"/>
      <c r="H206" s="132"/>
    </row>
    <row r="207" spans="5:8" x14ac:dyDescent="0.25">
      <c r="E207" s="132"/>
      <c r="F207" s="132"/>
      <c r="G207" s="132"/>
      <c r="H207" s="132"/>
    </row>
    <row r="208" spans="5:8" x14ac:dyDescent="0.25">
      <c r="E208" s="132"/>
      <c r="F208" s="132"/>
      <c r="G208" s="132"/>
      <c r="H208" s="132"/>
    </row>
    <row r="209" spans="5:8" x14ac:dyDescent="0.25">
      <c r="E209" s="132"/>
      <c r="F209" s="132"/>
      <c r="G209" s="132"/>
      <c r="H209" s="132"/>
    </row>
    <row r="210" spans="5:8" x14ac:dyDescent="0.25">
      <c r="E210" s="132"/>
      <c r="F210" s="132"/>
      <c r="G210" s="132"/>
      <c r="H210" s="132"/>
    </row>
    <row r="211" spans="5:8" x14ac:dyDescent="0.25">
      <c r="E211" s="132"/>
      <c r="F211" s="132"/>
      <c r="G211" s="132"/>
      <c r="H211" s="132"/>
    </row>
    <row r="212" spans="5:8" x14ac:dyDescent="0.25">
      <c r="E212" s="132"/>
      <c r="F212" s="132"/>
      <c r="G212" s="132"/>
      <c r="H212" s="132"/>
    </row>
    <row r="213" spans="5:8" x14ac:dyDescent="0.25">
      <c r="E213" s="132"/>
      <c r="F213" s="132"/>
      <c r="G213" s="132"/>
      <c r="H213" s="132"/>
    </row>
    <row r="214" spans="5:8" x14ac:dyDescent="0.25">
      <c r="E214" s="132"/>
      <c r="F214" s="132"/>
      <c r="G214" s="132"/>
      <c r="H214" s="132"/>
    </row>
    <row r="215" spans="5:8" x14ac:dyDescent="0.25">
      <c r="E215" s="132"/>
      <c r="F215" s="132"/>
      <c r="G215" s="132"/>
      <c r="H215" s="132"/>
    </row>
    <row r="216" spans="5:8" x14ac:dyDescent="0.25">
      <c r="E216" s="132"/>
      <c r="F216" s="132"/>
      <c r="G216" s="132"/>
      <c r="H216" s="132"/>
    </row>
    <row r="217" spans="5:8" x14ac:dyDescent="0.25">
      <c r="E217" s="132"/>
      <c r="F217" s="132"/>
      <c r="G217" s="132"/>
      <c r="H217" s="132"/>
    </row>
    <row r="218" spans="5:8" x14ac:dyDescent="0.25">
      <c r="E218" s="132"/>
      <c r="F218" s="132"/>
      <c r="G218" s="132"/>
      <c r="H218" s="132"/>
    </row>
    <row r="219" spans="5:8" x14ac:dyDescent="0.25">
      <c r="E219" s="132"/>
      <c r="F219" s="132"/>
      <c r="G219" s="132"/>
      <c r="H219" s="132"/>
    </row>
    <row r="220" spans="5:8" x14ac:dyDescent="0.25">
      <c r="E220" s="132"/>
      <c r="F220" s="132"/>
      <c r="G220" s="132"/>
      <c r="H220" s="132"/>
    </row>
    <row r="221" spans="5:8" x14ac:dyDescent="0.25">
      <c r="E221" s="132"/>
      <c r="F221" s="132"/>
      <c r="G221" s="132"/>
      <c r="H221" s="132"/>
    </row>
    <row r="222" spans="5:8" x14ac:dyDescent="0.25">
      <c r="E222" s="132"/>
      <c r="F222" s="132"/>
      <c r="G222" s="132"/>
      <c r="H222" s="132"/>
    </row>
    <row r="223" spans="5:8" x14ac:dyDescent="0.25">
      <c r="E223" s="132"/>
      <c r="F223" s="132"/>
      <c r="G223" s="132"/>
      <c r="H223" s="132"/>
    </row>
    <row r="224" spans="5:8" x14ac:dyDescent="0.25">
      <c r="E224" s="132"/>
      <c r="F224" s="132"/>
      <c r="G224" s="132"/>
      <c r="H224" s="132"/>
    </row>
    <row r="225" spans="5:8" x14ac:dyDescent="0.25">
      <c r="E225" s="132"/>
      <c r="F225" s="132"/>
      <c r="G225" s="132"/>
      <c r="H225" s="132"/>
    </row>
    <row r="226" spans="5:8" x14ac:dyDescent="0.25">
      <c r="E226" s="132"/>
      <c r="F226" s="132"/>
      <c r="G226" s="132"/>
      <c r="H226" s="132"/>
    </row>
    <row r="227" spans="5:8" x14ac:dyDescent="0.25">
      <c r="E227" s="132"/>
      <c r="F227" s="132"/>
      <c r="G227" s="132"/>
      <c r="H227" s="132"/>
    </row>
    <row r="228" spans="5:8" x14ac:dyDescent="0.25">
      <c r="E228" s="132"/>
      <c r="F228" s="132"/>
      <c r="G228" s="132"/>
      <c r="H228" s="132"/>
    </row>
    <row r="229" spans="5:8" x14ac:dyDescent="0.25">
      <c r="E229" s="132"/>
      <c r="F229" s="132"/>
      <c r="G229" s="132"/>
      <c r="H229" s="132"/>
    </row>
    <row r="230" spans="5:8" x14ac:dyDescent="0.25">
      <c r="E230" s="132"/>
      <c r="F230" s="132"/>
      <c r="G230" s="132"/>
      <c r="H230" s="132"/>
    </row>
    <row r="231" spans="5:8" x14ac:dyDescent="0.25">
      <c r="E231" s="132"/>
      <c r="F231" s="132"/>
      <c r="G231" s="132"/>
      <c r="H231" s="132"/>
    </row>
  </sheetData>
  <mergeCells count="10">
    <mergeCell ref="AR2:AV2"/>
    <mergeCell ref="A1:X1"/>
    <mergeCell ref="AM2:AQ2"/>
    <mergeCell ref="Z1:AV1"/>
    <mergeCell ref="J2:N2"/>
    <mergeCell ref="E2:I2"/>
    <mergeCell ref="O2:S2"/>
    <mergeCell ref="T2:X2"/>
    <mergeCell ref="AC2:AG2"/>
    <mergeCell ref="AH2:AL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V123"/>
  <sheetViews>
    <sheetView zoomScale="75" zoomScaleNormal="75" workbookViewId="0">
      <pane ySplit="4" topLeftCell="A5" activePane="bottomLeft" state="frozenSplit"/>
      <selection activeCell="S43" sqref="S43"/>
      <selection pane="bottomLeft" activeCell="D107" sqref="D107:X107"/>
    </sheetView>
  </sheetViews>
  <sheetFormatPr defaultRowHeight="15" x14ac:dyDescent="0.25"/>
  <cols>
    <col min="1" max="1" width="13.28515625" style="171" bestFit="1" customWidth="1"/>
    <col min="2" max="2" width="13.28515625" style="171" customWidth="1"/>
    <col min="3" max="3" width="9.140625" style="171"/>
    <col min="4" max="4" width="12.5703125" style="171" bestFit="1" customWidth="1"/>
    <col min="5" max="8" width="11" style="171" bestFit="1" customWidth="1"/>
    <col min="9" max="9" width="11.85546875" style="171" bestFit="1" customWidth="1"/>
    <col min="10" max="14" width="11.7109375" style="462" customWidth="1"/>
    <col min="15" max="18" width="11" style="171" bestFit="1" customWidth="1"/>
    <col min="19" max="19" width="11.85546875" style="171" bestFit="1" customWidth="1"/>
    <col min="20" max="23" width="11" style="171" bestFit="1" customWidth="1"/>
    <col min="24" max="24" width="11.85546875" style="171" bestFit="1" customWidth="1"/>
    <col min="25" max="25" width="9.140625" style="171"/>
    <col min="26" max="26" width="12.7109375" style="171" customWidth="1"/>
    <col min="27" max="33" width="9.140625" style="171"/>
    <col min="34" max="38" width="9.140625" style="717"/>
    <col min="39" max="16384" width="9.140625" style="171"/>
  </cols>
  <sheetData>
    <row r="1" spans="1:48" x14ac:dyDescent="0.25">
      <c r="A1" s="1035" t="s">
        <v>581</v>
      </c>
      <c r="B1" s="1035"/>
      <c r="C1" s="1035"/>
      <c r="D1" s="1035"/>
      <c r="E1" s="1035"/>
      <c r="F1" s="1035"/>
      <c r="G1" s="1035"/>
      <c r="H1" s="1035"/>
      <c r="I1" s="1035"/>
      <c r="J1" s="1035"/>
      <c r="K1" s="1035"/>
      <c r="L1" s="1035"/>
      <c r="M1" s="1035"/>
      <c r="N1" s="1035"/>
      <c r="O1" s="1035"/>
      <c r="P1" s="1035"/>
      <c r="Q1" s="1035"/>
      <c r="R1" s="1035"/>
      <c r="S1" s="1035"/>
      <c r="T1" s="1035"/>
      <c r="U1" s="1035"/>
      <c r="V1" s="1035"/>
      <c r="W1" s="1035"/>
      <c r="X1" s="1035"/>
      <c r="Z1" s="1039" t="s">
        <v>583</v>
      </c>
      <c r="AA1" s="1039"/>
      <c r="AB1" s="1039"/>
      <c r="AC1" s="1039"/>
      <c r="AD1" s="1039"/>
      <c r="AE1" s="1039"/>
      <c r="AF1" s="1039"/>
      <c r="AG1" s="1039"/>
      <c r="AH1" s="1039"/>
      <c r="AI1" s="1039"/>
      <c r="AJ1" s="1039"/>
      <c r="AK1" s="1039"/>
      <c r="AL1" s="1039"/>
      <c r="AM1" s="1039"/>
      <c r="AN1" s="1039"/>
      <c r="AO1" s="1039"/>
      <c r="AP1" s="1039"/>
      <c r="AQ1" s="1039"/>
      <c r="AR1" s="1039"/>
      <c r="AS1" s="1039"/>
      <c r="AT1" s="1039"/>
      <c r="AU1" s="1039"/>
      <c r="AV1" s="1039"/>
    </row>
    <row r="2" spans="1:48" x14ac:dyDescent="0.25">
      <c r="A2" s="108"/>
      <c r="B2" s="108"/>
      <c r="C2" s="108"/>
      <c r="D2" s="108"/>
      <c r="E2" s="1035" t="s">
        <v>166</v>
      </c>
      <c r="F2" s="1035"/>
      <c r="G2" s="1035"/>
      <c r="H2" s="1035"/>
      <c r="I2" s="1035"/>
      <c r="J2" s="1035" t="s">
        <v>582</v>
      </c>
      <c r="K2" s="1035"/>
      <c r="L2" s="1035"/>
      <c r="M2" s="1035"/>
      <c r="N2" s="1035"/>
      <c r="O2" s="1035" t="s">
        <v>165</v>
      </c>
      <c r="P2" s="1035"/>
      <c r="Q2" s="1035"/>
      <c r="R2" s="1035"/>
      <c r="S2" s="1035"/>
      <c r="T2" s="1035" t="s">
        <v>167</v>
      </c>
      <c r="U2" s="1035"/>
      <c r="V2" s="1035"/>
      <c r="W2" s="1035"/>
      <c r="X2" s="1035"/>
      <c r="Z2" s="109"/>
      <c r="AA2" s="109"/>
      <c r="AB2" s="109"/>
      <c r="AC2" s="1039" t="s">
        <v>166</v>
      </c>
      <c r="AD2" s="1039"/>
      <c r="AE2" s="1039"/>
      <c r="AF2" s="1039"/>
      <c r="AG2" s="1039"/>
      <c r="AH2" s="1039" t="s">
        <v>582</v>
      </c>
      <c r="AI2" s="1039"/>
      <c r="AJ2" s="1039"/>
      <c r="AK2" s="1039"/>
      <c r="AL2" s="1039"/>
      <c r="AM2" s="1039" t="s">
        <v>165</v>
      </c>
      <c r="AN2" s="1039"/>
      <c r="AO2" s="1039"/>
      <c r="AP2" s="1039"/>
      <c r="AQ2" s="1039"/>
      <c r="AR2" s="1039" t="s">
        <v>167</v>
      </c>
      <c r="AS2" s="1039"/>
      <c r="AT2" s="1039"/>
      <c r="AU2" s="1039"/>
      <c r="AV2" s="1039"/>
    </row>
    <row r="3" spans="1:48" x14ac:dyDescent="0.25">
      <c r="A3" s="108" t="s">
        <v>168</v>
      </c>
      <c r="B3" s="108" t="s">
        <v>169</v>
      </c>
      <c r="C3" s="108" t="s">
        <v>170</v>
      </c>
      <c r="D3" s="108" t="s">
        <v>171</v>
      </c>
      <c r="E3" s="108">
        <v>2</v>
      </c>
      <c r="F3" s="108">
        <v>3</v>
      </c>
      <c r="G3" s="108">
        <v>4</v>
      </c>
      <c r="H3" s="108">
        <v>5</v>
      </c>
      <c r="I3" s="108" t="s">
        <v>172</v>
      </c>
      <c r="J3" s="708">
        <v>2</v>
      </c>
      <c r="K3" s="708">
        <v>3</v>
      </c>
      <c r="L3" s="708">
        <v>4</v>
      </c>
      <c r="M3" s="708">
        <v>5</v>
      </c>
      <c r="N3" s="708" t="s">
        <v>172</v>
      </c>
      <c r="O3" s="108">
        <v>2</v>
      </c>
      <c r="P3" s="108">
        <v>3</v>
      </c>
      <c r="Q3" s="108">
        <v>4</v>
      </c>
      <c r="R3" s="108">
        <v>5</v>
      </c>
      <c r="S3" s="108" t="s">
        <v>172</v>
      </c>
      <c r="T3" s="108">
        <v>2</v>
      </c>
      <c r="U3" s="108">
        <v>3</v>
      </c>
      <c r="V3" s="108">
        <v>4</v>
      </c>
      <c r="W3" s="108">
        <v>5</v>
      </c>
      <c r="X3" s="108" t="s">
        <v>172</v>
      </c>
      <c r="Z3" s="109" t="s">
        <v>168</v>
      </c>
      <c r="AA3" s="109" t="s">
        <v>169</v>
      </c>
      <c r="AB3" s="109" t="s">
        <v>170</v>
      </c>
      <c r="AC3" s="109">
        <v>2</v>
      </c>
      <c r="AD3" s="109">
        <v>3</v>
      </c>
      <c r="AE3" s="109">
        <v>4</v>
      </c>
      <c r="AF3" s="109">
        <v>5</v>
      </c>
      <c r="AG3" s="109" t="s">
        <v>172</v>
      </c>
      <c r="AH3" s="719">
        <v>2</v>
      </c>
      <c r="AI3" s="719">
        <v>3</v>
      </c>
      <c r="AJ3" s="719">
        <v>4</v>
      </c>
      <c r="AK3" s="719">
        <v>5</v>
      </c>
      <c r="AL3" s="719" t="s">
        <v>172</v>
      </c>
      <c r="AM3" s="109">
        <v>2</v>
      </c>
      <c r="AN3" s="109">
        <v>3</v>
      </c>
      <c r="AO3" s="109">
        <v>4</v>
      </c>
      <c r="AP3" s="109">
        <v>5</v>
      </c>
      <c r="AQ3" s="109" t="s">
        <v>172</v>
      </c>
      <c r="AR3" s="109">
        <v>2</v>
      </c>
      <c r="AS3" s="109">
        <v>3</v>
      </c>
      <c r="AT3" s="109">
        <v>4</v>
      </c>
      <c r="AU3" s="109">
        <v>5</v>
      </c>
      <c r="AV3" s="109" t="s">
        <v>172</v>
      </c>
    </row>
    <row r="4" spans="1:48" x14ac:dyDescent="0.25">
      <c r="A4" s="727" t="s">
        <v>648</v>
      </c>
      <c r="B4" s="727" t="s">
        <v>173</v>
      </c>
      <c r="C4" s="727" t="s">
        <v>649</v>
      </c>
      <c r="D4" s="727" t="s">
        <v>574</v>
      </c>
      <c r="E4" s="727" t="s">
        <v>650</v>
      </c>
      <c r="F4" s="727" t="s">
        <v>651</v>
      </c>
      <c r="G4" s="727" t="s">
        <v>652</v>
      </c>
      <c r="H4" s="727" t="s">
        <v>653</v>
      </c>
      <c r="I4" s="727" t="s">
        <v>654</v>
      </c>
      <c r="J4" s="727" t="s">
        <v>650</v>
      </c>
      <c r="K4" s="727" t="s">
        <v>651</v>
      </c>
      <c r="L4" s="727" t="s">
        <v>652</v>
      </c>
      <c r="M4" s="727" t="s">
        <v>653</v>
      </c>
      <c r="N4" s="727" t="s">
        <v>654</v>
      </c>
      <c r="O4" s="727" t="s">
        <v>650</v>
      </c>
      <c r="P4" s="727" t="s">
        <v>651</v>
      </c>
      <c r="Q4" s="727" t="s">
        <v>655</v>
      </c>
      <c r="R4" s="727" t="s">
        <v>653</v>
      </c>
      <c r="S4" s="727" t="s">
        <v>654</v>
      </c>
      <c r="T4" s="727" t="s">
        <v>650</v>
      </c>
      <c r="U4" s="727" t="s">
        <v>651</v>
      </c>
      <c r="V4" s="727" t="s">
        <v>655</v>
      </c>
      <c r="W4" s="727" t="s">
        <v>653</v>
      </c>
      <c r="X4" s="727" t="s">
        <v>654</v>
      </c>
      <c r="Y4" s="110"/>
      <c r="Z4" s="720" t="s">
        <v>573</v>
      </c>
      <c r="AA4" s="720" t="s">
        <v>173</v>
      </c>
      <c r="AB4" s="720" t="s">
        <v>174</v>
      </c>
      <c r="AC4" s="720">
        <v>2753.9732713183685</v>
      </c>
      <c r="AD4" s="720">
        <v>2753.9732713183689</v>
      </c>
      <c r="AE4" s="720">
        <v>2753.9732713183694</v>
      </c>
      <c r="AF4" s="720">
        <v>2753.9732713183703</v>
      </c>
      <c r="AG4" s="720">
        <v>2753.9732713183676</v>
      </c>
      <c r="AH4" s="720">
        <v>3224.49</v>
      </c>
      <c r="AI4" s="720">
        <v>3224.4900000000002</v>
      </c>
      <c r="AJ4" s="720">
        <v>3224.49</v>
      </c>
      <c r="AK4" s="720">
        <v>3224.49</v>
      </c>
      <c r="AL4" s="720">
        <v>3224.49</v>
      </c>
      <c r="AM4" s="720">
        <v>7426.6397536231934</v>
      </c>
      <c r="AN4" s="720">
        <v>7426.639753623188</v>
      </c>
      <c r="AO4" s="720">
        <v>7426.6397536231889</v>
      </c>
      <c r="AP4" s="720">
        <v>7426.6397536231907</v>
      </c>
      <c r="AQ4" s="720">
        <v>7426.6397536231907</v>
      </c>
      <c r="AR4" s="720">
        <v>7457.3753954897338</v>
      </c>
      <c r="AS4" s="720">
        <v>7457.3753954897402</v>
      </c>
      <c r="AT4" s="720">
        <v>7457.3753954897365</v>
      </c>
      <c r="AU4" s="720">
        <v>7457.3753954897365</v>
      </c>
      <c r="AV4" s="720">
        <v>7457.3753954897356</v>
      </c>
    </row>
    <row r="5" spans="1:48" x14ac:dyDescent="0.25">
      <c r="A5" s="709" t="s">
        <v>573</v>
      </c>
      <c r="B5" s="709" t="s">
        <v>173</v>
      </c>
      <c r="C5" s="709" t="s">
        <v>174</v>
      </c>
      <c r="D5" s="748" t="s">
        <v>574</v>
      </c>
      <c r="E5" s="748">
        <v>277.37988667355768</v>
      </c>
      <c r="F5" s="748">
        <v>282.67947069497626</v>
      </c>
      <c r="G5" s="748">
        <v>274.16719992580158</v>
      </c>
      <c r="H5" s="748">
        <v>306.94809288491115</v>
      </c>
      <c r="I5" s="748">
        <v>290.30625699533425</v>
      </c>
      <c r="J5" s="748">
        <v>330.23298799515328</v>
      </c>
      <c r="K5" s="748">
        <v>330.5139932728755</v>
      </c>
      <c r="L5" s="748">
        <v>322.09850737546492</v>
      </c>
      <c r="M5" s="748">
        <v>355.80533047279641</v>
      </c>
      <c r="N5" s="748">
        <v>339.03493055368705</v>
      </c>
      <c r="O5" s="748">
        <v>1316.2662827794336</v>
      </c>
      <c r="P5" s="748">
        <v>1135.5099472024833</v>
      </c>
      <c r="Q5" s="748">
        <v>1249.8995438538832</v>
      </c>
      <c r="R5" s="748">
        <v>1212.6272966277775</v>
      </c>
      <c r="S5" s="748">
        <v>1219.6452529527905</v>
      </c>
      <c r="T5" s="748">
        <v>1551.8603591300082</v>
      </c>
      <c r="U5" s="748">
        <v>1535.2637682395728</v>
      </c>
      <c r="V5" s="748">
        <v>1479.1934088306607</v>
      </c>
      <c r="W5" s="748">
        <v>1756.0605480247666</v>
      </c>
      <c r="X5" s="748">
        <v>1616.5873492913079</v>
      </c>
      <c r="Z5" s="720" t="s">
        <v>573</v>
      </c>
      <c r="AA5" s="720" t="s">
        <v>173</v>
      </c>
      <c r="AB5" s="720" t="s">
        <v>175</v>
      </c>
      <c r="AC5" s="720">
        <v>0.35024767628782305</v>
      </c>
      <c r="AD5" s="720">
        <v>0.35029487113244084</v>
      </c>
      <c r="AE5" s="720">
        <v>0.3503287377629693</v>
      </c>
      <c r="AF5" s="720">
        <v>0.35029316584044501</v>
      </c>
      <c r="AG5" s="720">
        <v>0.35030066832913132</v>
      </c>
      <c r="AH5" s="720">
        <v>0.34370013864856525</v>
      </c>
      <c r="AI5" s="720">
        <v>0.34374815544126763</v>
      </c>
      <c r="AJ5" s="720">
        <v>0.34374756594992428</v>
      </c>
      <c r="AK5" s="720">
        <v>0.3437295240314448</v>
      </c>
      <c r="AL5" s="720">
        <v>0.34370013864856525</v>
      </c>
      <c r="AM5" s="720">
        <v>22.510828007191709</v>
      </c>
      <c r="AN5" s="720">
        <v>22.517340663008078</v>
      </c>
      <c r="AO5" s="720">
        <v>22.512669926890137</v>
      </c>
      <c r="AP5" s="720">
        <v>22.514646367282179</v>
      </c>
      <c r="AQ5" s="720">
        <v>22.514177034104048</v>
      </c>
      <c r="AR5" s="720">
        <v>25.373039186564878</v>
      </c>
      <c r="AS5" s="720">
        <v>25.379060708026529</v>
      </c>
      <c r="AT5" s="720">
        <v>25.374371005438128</v>
      </c>
      <c r="AU5" s="720">
        <v>25.37669799329063</v>
      </c>
      <c r="AV5" s="720">
        <v>25.376077768462455</v>
      </c>
    </row>
    <row r="6" spans="1:48" x14ac:dyDescent="0.25">
      <c r="A6" s="709" t="s">
        <v>573</v>
      </c>
      <c r="B6" s="709" t="s">
        <v>173</v>
      </c>
      <c r="C6" s="709" t="s">
        <v>174</v>
      </c>
      <c r="D6" s="747">
        <v>2.5</v>
      </c>
      <c r="E6" s="747">
        <v>1631.7987343150558</v>
      </c>
      <c r="F6" s="747">
        <v>1619.391824047671</v>
      </c>
      <c r="G6" s="747">
        <v>1634.4344041625027</v>
      </c>
      <c r="H6" s="747">
        <v>1588.067742550325</v>
      </c>
      <c r="I6" s="747">
        <v>1640.1230621185841</v>
      </c>
      <c r="J6" s="747">
        <v>1942.70133473704</v>
      </c>
      <c r="K6" s="747">
        <v>1893.4049427627187</v>
      </c>
      <c r="L6" s="747">
        <v>1920.3646692479556</v>
      </c>
      <c r="M6" s="747">
        <v>1841.0107079062907</v>
      </c>
      <c r="N6" s="747">
        <v>1915.4835692853321</v>
      </c>
      <c r="O6" s="747">
        <v>7035.6798402432914</v>
      </c>
      <c r="P6" s="747">
        <v>6667.2433577662232</v>
      </c>
      <c r="Q6" s="747">
        <v>7818.1322921352485</v>
      </c>
      <c r="R6" s="747">
        <v>6036.8477236175113</v>
      </c>
      <c r="S6" s="747">
        <v>6962.1562704889375</v>
      </c>
      <c r="T6" s="747">
        <v>8288.4542857841443</v>
      </c>
      <c r="U6" s="747">
        <v>8541.2133178424356</v>
      </c>
      <c r="V6" s="747">
        <v>8727.280540546968</v>
      </c>
      <c r="W6" s="747">
        <v>7963.435957405587</v>
      </c>
      <c r="X6" s="747">
        <v>8744.9298181254308</v>
      </c>
      <c r="Z6" s="720" t="s">
        <v>573</v>
      </c>
      <c r="AA6" s="720" t="s">
        <v>173</v>
      </c>
      <c r="AB6" s="720" t="s">
        <v>176</v>
      </c>
      <c r="AC6" s="720">
        <v>4.4736117042005537E-2</v>
      </c>
      <c r="AD6" s="720">
        <v>4.477365597354032E-2</v>
      </c>
      <c r="AE6" s="720">
        <v>4.4893878939941706E-2</v>
      </c>
      <c r="AF6" s="720">
        <v>4.481320967953429E-2</v>
      </c>
      <c r="AG6" s="720">
        <v>4.4825042632683533E-2</v>
      </c>
      <c r="AH6" s="720">
        <v>3.3530024875890338E-2</v>
      </c>
      <c r="AI6" s="720">
        <v>3.3530509128836462E-2</v>
      </c>
      <c r="AJ6" s="720">
        <v>3.354192281508734E-2</v>
      </c>
      <c r="AK6" s="720">
        <v>3.3536459659249375E-2</v>
      </c>
      <c r="AL6" s="720">
        <v>3.3530024875890338E-2</v>
      </c>
      <c r="AM6" s="720">
        <v>1.7606976770584404</v>
      </c>
      <c r="AN6" s="720">
        <v>1.7606994802819631</v>
      </c>
      <c r="AO6" s="720">
        <v>1.7606958746774874</v>
      </c>
      <c r="AP6" s="720">
        <v>1.7606952453414035</v>
      </c>
      <c r="AQ6" s="720">
        <v>1.7606963549122747</v>
      </c>
      <c r="AR6" s="720">
        <v>1.7042105824012137</v>
      </c>
      <c r="AS6" s="720">
        <v>1.7042260377434799</v>
      </c>
      <c r="AT6" s="720">
        <v>1.704203595747523</v>
      </c>
      <c r="AU6" s="720">
        <v>1.7041999619732944</v>
      </c>
      <c r="AV6" s="720">
        <v>1.7042063606007158</v>
      </c>
    </row>
    <row r="7" spans="1:48" x14ac:dyDescent="0.25">
      <c r="A7" s="709" t="s">
        <v>573</v>
      </c>
      <c r="B7" s="709" t="s">
        <v>173</v>
      </c>
      <c r="C7" s="709" t="s">
        <v>174</v>
      </c>
      <c r="D7" s="747">
        <v>5</v>
      </c>
      <c r="E7" s="747">
        <v>899.6973984345467</v>
      </c>
      <c r="F7" s="747">
        <v>914.86516754842046</v>
      </c>
      <c r="G7" s="747">
        <v>908.71074654315328</v>
      </c>
      <c r="H7" s="747">
        <v>897.18366076177404</v>
      </c>
      <c r="I7" s="747">
        <v>920.22750754276251</v>
      </c>
      <c r="J7" s="747">
        <v>1071.114531493916</v>
      </c>
      <c r="K7" s="747">
        <v>1069.667145699156</v>
      </c>
      <c r="L7" s="747">
        <v>1067.6818890884676</v>
      </c>
      <c r="M7" s="747">
        <v>1040.0845519149184</v>
      </c>
      <c r="N7" s="747">
        <v>1074.7246419580622</v>
      </c>
      <c r="O7" s="747">
        <v>3759.0154029035775</v>
      </c>
      <c r="P7" s="747">
        <v>3374.6504031436953</v>
      </c>
      <c r="Q7" s="747">
        <v>4065.3793282096995</v>
      </c>
      <c r="R7" s="747">
        <v>3055.577395221042</v>
      </c>
      <c r="S7" s="747">
        <v>3574.3533051043792</v>
      </c>
      <c r="T7" s="747">
        <v>4304.6820182921965</v>
      </c>
      <c r="U7" s="747">
        <v>4310.4782898241947</v>
      </c>
      <c r="V7" s="747">
        <v>4439.9696177978103</v>
      </c>
      <c r="W7" s="747">
        <v>4018.894864967529</v>
      </c>
      <c r="X7" s="747">
        <v>4434.3255002558826</v>
      </c>
      <c r="Z7" s="721" t="s">
        <v>573</v>
      </c>
      <c r="AA7" s="721" t="s">
        <v>177</v>
      </c>
      <c r="AB7" s="721" t="s">
        <v>175</v>
      </c>
      <c r="AC7" s="721">
        <v>0.65039733488661011</v>
      </c>
      <c r="AD7" s="721">
        <v>0.65212931143544184</v>
      </c>
      <c r="AE7" s="721">
        <v>0.63794503673048653</v>
      </c>
      <c r="AF7" s="721">
        <v>0.6444757972469991</v>
      </c>
      <c r="AG7" s="721">
        <v>0.6442430103564446</v>
      </c>
      <c r="AH7" s="721">
        <v>0.69071043315181668</v>
      </c>
      <c r="AI7" s="721">
        <v>0.69498923955912562</v>
      </c>
      <c r="AJ7" s="721">
        <v>0.68508330394930683</v>
      </c>
      <c r="AK7" s="721">
        <v>0.6875375716247577</v>
      </c>
      <c r="AL7" s="721">
        <v>0.69071043315181668</v>
      </c>
      <c r="AM7" s="721">
        <v>21.554214095061603</v>
      </c>
      <c r="AN7" s="721">
        <v>21.554443105479088</v>
      </c>
      <c r="AO7" s="721">
        <v>21.554000496140041</v>
      </c>
      <c r="AP7" s="721">
        <v>21.553918655788824</v>
      </c>
      <c r="AQ7" s="721">
        <v>21.55405679701402</v>
      </c>
      <c r="AR7" s="721">
        <v>24.28915570669955</v>
      </c>
      <c r="AS7" s="721">
        <v>24.289386773144717</v>
      </c>
      <c r="AT7" s="721">
        <v>24.289194388707266</v>
      </c>
      <c r="AU7" s="721">
        <v>24.289053319350398</v>
      </c>
      <c r="AV7" s="721">
        <v>24.28916155157938</v>
      </c>
    </row>
    <row r="8" spans="1:48" x14ac:dyDescent="0.25">
      <c r="A8" s="709" t="s">
        <v>573</v>
      </c>
      <c r="B8" s="709" t="s">
        <v>173</v>
      </c>
      <c r="C8" s="709" t="s">
        <v>174</v>
      </c>
      <c r="D8" s="747">
        <v>10</v>
      </c>
      <c r="E8" s="747">
        <v>531.30333232043881</v>
      </c>
      <c r="F8" s="747">
        <v>562.60113474725244</v>
      </c>
      <c r="G8" s="747">
        <v>545.99470655531479</v>
      </c>
      <c r="H8" s="747">
        <v>551.74161649172265</v>
      </c>
      <c r="I8" s="747">
        <v>560.1315004447755</v>
      </c>
      <c r="J8" s="747">
        <v>632.53124980661426</v>
      </c>
      <c r="K8" s="747">
        <v>657.79742340048051</v>
      </c>
      <c r="L8" s="747">
        <v>641.51179233313803</v>
      </c>
      <c r="M8" s="747">
        <v>639.62147000577238</v>
      </c>
      <c r="N8" s="747">
        <v>654.17206215928013</v>
      </c>
      <c r="O8" s="747">
        <v>2304.5910207741686</v>
      </c>
      <c r="P8" s="747">
        <v>1943.7453386177019</v>
      </c>
      <c r="Q8" s="747">
        <v>2551.0066795766106</v>
      </c>
      <c r="R8" s="747">
        <v>1759.9869704725138</v>
      </c>
      <c r="S8" s="747">
        <v>2135.003183789644</v>
      </c>
      <c r="T8" s="747">
        <v>2578.7203939516517</v>
      </c>
      <c r="U8" s="747">
        <v>2679.4647430218979</v>
      </c>
      <c r="V8" s="747">
        <v>2713.8513795815675</v>
      </c>
      <c r="W8" s="747">
        <v>2498.2539272761874</v>
      </c>
      <c r="X8" s="747">
        <v>2734.2482996886138</v>
      </c>
      <c r="Z8" s="722" t="s">
        <v>573</v>
      </c>
      <c r="AA8" s="722" t="s">
        <v>177</v>
      </c>
      <c r="AB8" s="722" t="s">
        <v>178</v>
      </c>
      <c r="AC8" s="722">
        <v>1.3357913508766182</v>
      </c>
      <c r="AD8" s="722">
        <v>1.3362822641707577</v>
      </c>
      <c r="AE8" s="722">
        <v>1.3337193414059276</v>
      </c>
      <c r="AF8" s="722">
        <v>1.3347545698935912</v>
      </c>
      <c r="AG8" s="722">
        <v>1.3347788591030429</v>
      </c>
      <c r="AH8" s="722">
        <v>1.1551717512679589</v>
      </c>
      <c r="AI8" s="722">
        <v>1.1555295227145921</v>
      </c>
      <c r="AJ8" s="722">
        <v>1.154422428973757</v>
      </c>
      <c r="AK8" s="722">
        <v>1.1546072211426133</v>
      </c>
      <c r="AL8" s="722">
        <v>1.1551717512679589</v>
      </c>
      <c r="AM8" s="722">
        <v>4.9699025984971215</v>
      </c>
      <c r="AN8" s="722">
        <v>4.967912665511065</v>
      </c>
      <c r="AO8" s="722">
        <v>4.9739250391244232</v>
      </c>
      <c r="AP8" s="722">
        <v>4.9755302648222512</v>
      </c>
      <c r="AQ8" s="722">
        <v>4.9732851508055154</v>
      </c>
      <c r="AR8" s="722">
        <v>4.4674252625505879</v>
      </c>
      <c r="AS8" s="722">
        <v>4.4643457307817043</v>
      </c>
      <c r="AT8" s="722">
        <v>4.4694456296960317</v>
      </c>
      <c r="AU8" s="722">
        <v>4.472576536366069</v>
      </c>
      <c r="AV8" s="722">
        <v>4.4697968378830852</v>
      </c>
    </row>
    <row r="9" spans="1:48" x14ac:dyDescent="0.25">
      <c r="A9" s="709" t="s">
        <v>573</v>
      </c>
      <c r="B9" s="709" t="s">
        <v>173</v>
      </c>
      <c r="C9" s="709" t="s">
        <v>174</v>
      </c>
      <c r="D9" s="747">
        <v>15</v>
      </c>
      <c r="E9" s="747">
        <v>419.23726848576854</v>
      </c>
      <c r="F9" s="747">
        <v>445.17979630047063</v>
      </c>
      <c r="G9" s="747">
        <v>431.3745813997578</v>
      </c>
      <c r="H9" s="747">
        <v>436.59373301469321</v>
      </c>
      <c r="I9" s="747">
        <v>442.92626537586358</v>
      </c>
      <c r="J9" s="747">
        <v>499.11351438857321</v>
      </c>
      <c r="K9" s="747">
        <v>520.50752277269646</v>
      </c>
      <c r="L9" s="747">
        <v>506.83986045692563</v>
      </c>
      <c r="M9" s="747">
        <v>506.13315537410659</v>
      </c>
      <c r="N9" s="747">
        <v>517.28922257605518</v>
      </c>
      <c r="O9" s="747">
        <v>1882.9207896430735</v>
      </c>
      <c r="P9" s="747">
        <v>1487.137299779878</v>
      </c>
      <c r="Q9" s="747">
        <v>2101.8763869071122</v>
      </c>
      <c r="R9" s="747">
        <v>1346.5564049585755</v>
      </c>
      <c r="S9" s="747">
        <v>1689.8474984111294</v>
      </c>
      <c r="T9" s="747">
        <v>2226.1843333419333</v>
      </c>
      <c r="U9" s="747">
        <v>2349.3745411363889</v>
      </c>
      <c r="V9" s="747">
        <v>2364.7338073393475</v>
      </c>
      <c r="W9" s="747">
        <v>2190.5225735906033</v>
      </c>
      <c r="X9" s="747">
        <v>2389.9904078319887</v>
      </c>
      <c r="Z9" s="723" t="s">
        <v>573</v>
      </c>
      <c r="AA9" s="723" t="s">
        <v>173</v>
      </c>
      <c r="AB9" s="723" t="s">
        <v>575</v>
      </c>
      <c r="AC9" s="723">
        <v>1.8676355513173842E-2</v>
      </c>
      <c r="AD9" s="723">
        <v>1.8676355513173835E-2</v>
      </c>
      <c r="AE9" s="723">
        <v>1.8676355513173835E-2</v>
      </c>
      <c r="AF9" s="723">
        <v>1.8676355513173846E-2</v>
      </c>
      <c r="AG9" s="723">
        <v>1.8676355513173839E-2</v>
      </c>
      <c r="AH9" s="723">
        <v>2.2055400000000003E-2</v>
      </c>
      <c r="AI9" s="723">
        <v>2.2055399999999999E-2</v>
      </c>
      <c r="AJ9" s="723">
        <v>2.2055399999999999E-2</v>
      </c>
      <c r="AK9" s="723">
        <v>2.2055399999999996E-2</v>
      </c>
      <c r="AL9" s="723">
        <v>2.2055400000000003E-2</v>
      </c>
      <c r="AM9" s="723">
        <v>6.4343825507246433E-2</v>
      </c>
      <c r="AN9" s="723">
        <v>6.4343825507246363E-2</v>
      </c>
      <c r="AO9" s="723">
        <v>6.4343825507246391E-2</v>
      </c>
      <c r="AP9" s="723">
        <v>6.4343825507246349E-2</v>
      </c>
      <c r="AQ9" s="723">
        <v>6.4343825507246391E-2</v>
      </c>
      <c r="AR9" s="723">
        <v>6.3714295089789527E-2</v>
      </c>
      <c r="AS9" s="723">
        <v>6.3714295089789555E-2</v>
      </c>
      <c r="AT9" s="723">
        <v>6.3714295089789555E-2</v>
      </c>
      <c r="AU9" s="723">
        <v>6.3714295089789527E-2</v>
      </c>
      <c r="AV9" s="723">
        <v>6.3714295089789541E-2</v>
      </c>
    </row>
    <row r="10" spans="1:48" x14ac:dyDescent="0.25">
      <c r="A10" s="709" t="s">
        <v>573</v>
      </c>
      <c r="B10" s="709" t="s">
        <v>173</v>
      </c>
      <c r="C10" s="709" t="s">
        <v>174</v>
      </c>
      <c r="D10" s="747">
        <v>20</v>
      </c>
      <c r="E10" s="747">
        <v>352.92843562040343</v>
      </c>
      <c r="F10" s="747">
        <v>384.21527019380244</v>
      </c>
      <c r="G10" s="747">
        <v>359.75923643999374</v>
      </c>
      <c r="H10" s="747">
        <v>376.80904680553118</v>
      </c>
      <c r="I10" s="747">
        <v>377.66297346112526</v>
      </c>
      <c r="J10" s="747">
        <v>420.17102264404377</v>
      </c>
      <c r="K10" s="747">
        <v>449.22734625863097</v>
      </c>
      <c r="L10" s="747">
        <v>422.69602581511521</v>
      </c>
      <c r="M10" s="747">
        <v>436.82613242360611</v>
      </c>
      <c r="N10" s="747">
        <v>441.0688667823415</v>
      </c>
      <c r="O10" s="747">
        <v>1673.0658492381988</v>
      </c>
      <c r="P10" s="747">
        <v>1408.133416178579</v>
      </c>
      <c r="Q10" s="747">
        <v>1855.8477747944648</v>
      </c>
      <c r="R10" s="747">
        <v>1275.0403959454184</v>
      </c>
      <c r="S10" s="747">
        <v>1549.3910909451763</v>
      </c>
      <c r="T10" s="747">
        <v>2016.0854343384519</v>
      </c>
      <c r="U10" s="747">
        <v>2097.5222926276988</v>
      </c>
      <c r="V10" s="747">
        <v>2122.6430015805677</v>
      </c>
      <c r="W10" s="747">
        <v>1955.716811118928</v>
      </c>
      <c r="X10" s="747">
        <v>2139.6654857664739</v>
      </c>
      <c r="Z10" s="725" t="s">
        <v>573</v>
      </c>
      <c r="AA10" s="725" t="s">
        <v>576</v>
      </c>
      <c r="AB10" s="725" t="s">
        <v>577</v>
      </c>
      <c r="AC10" s="725">
        <v>5.9827421021261866</v>
      </c>
      <c r="AD10" s="725">
        <v>5.9827421021261875</v>
      </c>
      <c r="AE10" s="725">
        <v>5.9827421021261857</v>
      </c>
      <c r="AF10" s="725">
        <v>5.9827421021261866</v>
      </c>
      <c r="AG10" s="725">
        <v>5.9827421021261857</v>
      </c>
      <c r="AH10" s="725">
        <v>4.5910299999999999</v>
      </c>
      <c r="AI10" s="725">
        <v>4.5910300000000008</v>
      </c>
      <c r="AJ10" s="725">
        <v>4.5910299999999999</v>
      </c>
      <c r="AK10" s="725">
        <v>4.5910299999999999</v>
      </c>
      <c r="AL10" s="725">
        <v>4.5910299999999999</v>
      </c>
      <c r="AM10" s="725">
        <v>9.65007889130435</v>
      </c>
      <c r="AN10" s="725">
        <v>9.6500788913043358</v>
      </c>
      <c r="AO10" s="725">
        <v>9.65007889130435</v>
      </c>
      <c r="AP10" s="725">
        <v>9.6500788913043465</v>
      </c>
      <c r="AQ10" s="725">
        <v>9.6500788913043412</v>
      </c>
      <c r="AR10" s="725">
        <v>9.6956358189953917</v>
      </c>
      <c r="AS10" s="725">
        <v>9.6956358189953846</v>
      </c>
      <c r="AT10" s="725">
        <v>9.6956358189953846</v>
      </c>
      <c r="AU10" s="725">
        <v>9.6956358189953864</v>
      </c>
      <c r="AV10" s="725">
        <v>9.6956358189953917</v>
      </c>
    </row>
    <row r="11" spans="1:48" x14ac:dyDescent="0.25">
      <c r="A11" s="709" t="s">
        <v>573</v>
      </c>
      <c r="B11" s="709" t="s">
        <v>173</v>
      </c>
      <c r="C11" s="709" t="s">
        <v>174</v>
      </c>
      <c r="D11" s="747">
        <v>25</v>
      </c>
      <c r="E11" s="747">
        <v>316.89074706898475</v>
      </c>
      <c r="F11" s="747">
        <v>343.09796132699137</v>
      </c>
      <c r="G11" s="747">
        <v>322.01138618139208</v>
      </c>
      <c r="H11" s="747">
        <v>336.48709367556108</v>
      </c>
      <c r="I11" s="747">
        <v>337.62330185440766</v>
      </c>
      <c r="J11" s="747">
        <v>377.26716190593282</v>
      </c>
      <c r="K11" s="747">
        <v>401.15268348373127</v>
      </c>
      <c r="L11" s="747">
        <v>378.34451327226395</v>
      </c>
      <c r="M11" s="747">
        <v>390.08181195982206</v>
      </c>
      <c r="N11" s="747">
        <v>394.30692869753784</v>
      </c>
      <c r="O11" s="747">
        <v>1535.5962431615192</v>
      </c>
      <c r="P11" s="747">
        <v>1347.9903439015579</v>
      </c>
      <c r="Q11" s="747">
        <v>1678.4464789649496</v>
      </c>
      <c r="R11" s="747">
        <v>1220.5900137368901</v>
      </c>
      <c r="S11" s="747">
        <v>1447.4413655947478</v>
      </c>
      <c r="T11" s="747">
        <v>1892.801664432078</v>
      </c>
      <c r="U11" s="747">
        <v>1929.5131441134674</v>
      </c>
      <c r="V11" s="747">
        <v>1967.8667853837105</v>
      </c>
      <c r="W11" s="747">
        <v>1799.0781402970244</v>
      </c>
      <c r="X11" s="747">
        <v>1976.1391514102468</v>
      </c>
    </row>
    <row r="12" spans="1:48" x14ac:dyDescent="0.25">
      <c r="A12" s="709" t="s">
        <v>573</v>
      </c>
      <c r="B12" s="709" t="s">
        <v>173</v>
      </c>
      <c r="C12" s="709" t="s">
        <v>174</v>
      </c>
      <c r="D12" s="747">
        <v>30</v>
      </c>
      <c r="E12" s="747">
        <v>299.72866429261438</v>
      </c>
      <c r="F12" s="747">
        <v>306.31407881732792</v>
      </c>
      <c r="G12" s="747">
        <v>300.13295544144722</v>
      </c>
      <c r="H12" s="747">
        <v>300.41307723429861</v>
      </c>
      <c r="I12" s="747">
        <v>306.72040045169973</v>
      </c>
      <c r="J12" s="747">
        <v>356.83522969799606</v>
      </c>
      <c r="K12" s="747">
        <v>358.14469497622002</v>
      </c>
      <c r="L12" s="747">
        <v>352.63863893152694</v>
      </c>
      <c r="M12" s="747">
        <v>348.2620275979171</v>
      </c>
      <c r="N12" s="747">
        <v>358.21573453819866</v>
      </c>
      <c r="O12" s="747">
        <v>1511.7041322048603</v>
      </c>
      <c r="P12" s="747">
        <v>1337.3909232453927</v>
      </c>
      <c r="Q12" s="747">
        <v>1634.7252563299689</v>
      </c>
      <c r="R12" s="747">
        <v>1211.0029054977801</v>
      </c>
      <c r="S12" s="747">
        <v>1425.7020823727248</v>
      </c>
      <c r="T12" s="747">
        <v>1873.2304401551521</v>
      </c>
      <c r="U12" s="747">
        <v>1874.1068725247387</v>
      </c>
      <c r="V12" s="747">
        <v>1925.2440857625388</v>
      </c>
      <c r="W12" s="747">
        <v>1747.4275569984827</v>
      </c>
      <c r="X12" s="747">
        <v>1926.5498790499739</v>
      </c>
    </row>
    <row r="13" spans="1:48" ht="15" customHeight="1" x14ac:dyDescent="0.25">
      <c r="A13" s="709" t="s">
        <v>573</v>
      </c>
      <c r="B13" s="709" t="s">
        <v>173</v>
      </c>
      <c r="C13" s="709" t="s">
        <v>174</v>
      </c>
      <c r="D13" s="747">
        <v>35</v>
      </c>
      <c r="E13" s="747">
        <v>299.28576687059046</v>
      </c>
      <c r="F13" s="747">
        <v>290.51353449777605</v>
      </c>
      <c r="G13" s="747">
        <v>293.70752133832946</v>
      </c>
      <c r="H13" s="747">
        <v>283.82188792851747</v>
      </c>
      <c r="I13" s="747">
        <v>294.44586303444839</v>
      </c>
      <c r="J13" s="747">
        <v>356.30794811919355</v>
      </c>
      <c r="K13" s="747">
        <v>339.67058125727851</v>
      </c>
      <c r="L13" s="747">
        <v>345.08913030347588</v>
      </c>
      <c r="M13" s="747">
        <v>329.02824030381146</v>
      </c>
      <c r="N13" s="747">
        <v>343.88042319091943</v>
      </c>
      <c r="O13" s="747">
        <v>1341.1380798753171</v>
      </c>
      <c r="P13" s="747">
        <v>1178.7219583319609</v>
      </c>
      <c r="Q13" s="747">
        <v>1402.0706985705895</v>
      </c>
      <c r="R13" s="747">
        <v>1067.3274351460134</v>
      </c>
      <c r="S13" s="747">
        <v>1245.500073042175</v>
      </c>
      <c r="T13" s="747">
        <v>1665.514079233119</v>
      </c>
      <c r="U13" s="747">
        <v>1580.6950125273027</v>
      </c>
      <c r="V13" s="747">
        <v>1657.9435281380279</v>
      </c>
      <c r="W13" s="747">
        <v>1473.8457029989252</v>
      </c>
      <c r="X13" s="747">
        <v>1642.5050881139696</v>
      </c>
    </row>
    <row r="14" spans="1:48" ht="15" customHeight="1" x14ac:dyDescent="0.25">
      <c r="A14" s="709" t="s">
        <v>573</v>
      </c>
      <c r="B14" s="709" t="s">
        <v>173</v>
      </c>
      <c r="C14" s="709" t="s">
        <v>174</v>
      </c>
      <c r="D14" s="747">
        <v>40</v>
      </c>
      <c r="E14" s="747">
        <v>297.8292860256991</v>
      </c>
      <c r="F14" s="747">
        <v>281.16959410166947</v>
      </c>
      <c r="G14" s="747">
        <v>288.88892688508412</v>
      </c>
      <c r="H14" s="747">
        <v>273.59003927471298</v>
      </c>
      <c r="I14" s="747">
        <v>286.58579735328641</v>
      </c>
      <c r="J14" s="747">
        <v>354.57396756026333</v>
      </c>
      <c r="K14" s="747">
        <v>328.74557677834542</v>
      </c>
      <c r="L14" s="747">
        <v>339.42756412505958</v>
      </c>
      <c r="M14" s="747">
        <v>317.16669156214391</v>
      </c>
      <c r="N14" s="747">
        <v>334.70072990234297</v>
      </c>
      <c r="O14" s="747">
        <v>1322.414790430568</v>
      </c>
      <c r="P14" s="747">
        <v>1126.767204950459</v>
      </c>
      <c r="Q14" s="747">
        <v>1352.5227020066802</v>
      </c>
      <c r="R14" s="747">
        <v>1020.2860954273114</v>
      </c>
      <c r="S14" s="747">
        <v>1197.8924927505341</v>
      </c>
      <c r="T14" s="747">
        <v>1652.9374529377574</v>
      </c>
      <c r="U14" s="747">
        <v>1526.1175392992927</v>
      </c>
      <c r="V14" s="747">
        <v>1618.6220289064752</v>
      </c>
      <c r="W14" s="747">
        <v>1422.962879473198</v>
      </c>
      <c r="X14" s="747">
        <v>1595.0295511392089</v>
      </c>
    </row>
    <row r="15" spans="1:48" ht="15" customHeight="1" x14ac:dyDescent="0.25">
      <c r="A15" s="709" t="s">
        <v>573</v>
      </c>
      <c r="B15" s="709" t="s">
        <v>173</v>
      </c>
      <c r="C15" s="709" t="s">
        <v>174</v>
      </c>
      <c r="D15" s="747">
        <v>45</v>
      </c>
      <c r="E15" s="747">
        <v>294.91475389960561</v>
      </c>
      <c r="F15" s="747">
        <v>273.90213001455692</v>
      </c>
      <c r="G15" s="747">
        <v>284.44050156032097</v>
      </c>
      <c r="H15" s="747">
        <v>266.02744570640209</v>
      </c>
      <c r="I15" s="747">
        <v>280.28590758816051</v>
      </c>
      <c r="J15" s="747">
        <v>351.10413679472322</v>
      </c>
      <c r="K15" s="747">
        <v>320.24840381529083</v>
      </c>
      <c r="L15" s="747">
        <v>334.20092498572967</v>
      </c>
      <c r="M15" s="747">
        <v>308.39954935167094</v>
      </c>
      <c r="N15" s="747">
        <v>327.34315069860946</v>
      </c>
      <c r="O15" s="747">
        <v>1302.6479578554984</v>
      </c>
      <c r="P15" s="747">
        <v>1086.3033121206845</v>
      </c>
      <c r="Q15" s="747">
        <v>1311.1521197209779</v>
      </c>
      <c r="R15" s="747">
        <v>983.64911383420326</v>
      </c>
      <c r="S15" s="747">
        <v>1159.5095633921912</v>
      </c>
      <c r="T15" s="747">
        <v>1639.1491339541324</v>
      </c>
      <c r="U15" s="747">
        <v>1483.042813570366</v>
      </c>
      <c r="V15" s="747">
        <v>1586.048296954069</v>
      </c>
      <c r="W15" s="747">
        <v>1382.8046713978174</v>
      </c>
      <c r="X15" s="747">
        <v>1556.7668065235996</v>
      </c>
    </row>
    <row r="16" spans="1:48" ht="15" customHeight="1" x14ac:dyDescent="0.25">
      <c r="A16" s="709" t="s">
        <v>573</v>
      </c>
      <c r="B16" s="709" t="s">
        <v>173</v>
      </c>
      <c r="C16" s="709" t="s">
        <v>174</v>
      </c>
      <c r="D16" s="747">
        <v>50</v>
      </c>
      <c r="E16" s="747">
        <v>287.625623579479</v>
      </c>
      <c r="F16" s="747">
        <v>268.57526274071694</v>
      </c>
      <c r="G16" s="747">
        <v>277.3087289638276</v>
      </c>
      <c r="H16" s="747">
        <v>260.64795717350313</v>
      </c>
      <c r="I16" s="747">
        <v>274.12035284970881</v>
      </c>
      <c r="J16" s="747">
        <v>342.42622639793268</v>
      </c>
      <c r="K16" s="747">
        <v>314.02019105297137</v>
      </c>
      <c r="L16" s="747">
        <v>325.82151000979843</v>
      </c>
      <c r="M16" s="747">
        <v>302.16323100909096</v>
      </c>
      <c r="N16" s="747">
        <v>320.14246004934915</v>
      </c>
      <c r="O16" s="747">
        <v>1276.6439904685087</v>
      </c>
      <c r="P16" s="747">
        <v>1133.8046749062316</v>
      </c>
      <c r="Q16" s="747">
        <v>1268.6671569579623</v>
      </c>
      <c r="R16" s="747">
        <v>1026.6666890326705</v>
      </c>
      <c r="S16" s="747">
        <v>1172.4347205209683</v>
      </c>
      <c r="T16" s="747">
        <v>1588.9164082873692</v>
      </c>
      <c r="U16" s="747">
        <v>1407.2126638150216</v>
      </c>
      <c r="V16" s="747">
        <v>1518.3440450969701</v>
      </c>
      <c r="W16" s="747">
        <v>1312.1004370835062</v>
      </c>
      <c r="X16" s="747">
        <v>1484.067423144433</v>
      </c>
    </row>
    <row r="17" spans="1:24" ht="15" customHeight="1" x14ac:dyDescent="0.25">
      <c r="A17" s="709" t="s">
        <v>573</v>
      </c>
      <c r="B17" s="709" t="s">
        <v>173</v>
      </c>
      <c r="C17" s="709" t="s">
        <v>174</v>
      </c>
      <c r="D17" s="747">
        <v>55</v>
      </c>
      <c r="E17" s="747">
        <v>280.35570767789193</v>
      </c>
      <c r="F17" s="747">
        <v>266.16012938201055</v>
      </c>
      <c r="G17" s="747">
        <v>270.52839087066644</v>
      </c>
      <c r="H17" s="747">
        <v>258.00197432556666</v>
      </c>
      <c r="I17" s="747">
        <v>269.80943355959317</v>
      </c>
      <c r="J17" s="747">
        <v>333.77119129559975</v>
      </c>
      <c r="K17" s="747">
        <v>311.19639920043744</v>
      </c>
      <c r="L17" s="747">
        <v>317.85500998599679</v>
      </c>
      <c r="M17" s="747">
        <v>299.09580345202443</v>
      </c>
      <c r="N17" s="747">
        <v>315.10777987232308</v>
      </c>
      <c r="O17" s="747">
        <v>1251.3384251387729</v>
      </c>
      <c r="P17" s="747">
        <v>1172.6687079881426</v>
      </c>
      <c r="Q17" s="747">
        <v>1232.1975408755129</v>
      </c>
      <c r="R17" s="747">
        <v>1061.8647224348767</v>
      </c>
      <c r="S17" s="747">
        <v>1182.1346559699609</v>
      </c>
      <c r="T17" s="747">
        <v>1527.2423711879683</v>
      </c>
      <c r="U17" s="747">
        <v>1326.9427998673414</v>
      </c>
      <c r="V17" s="747">
        <v>1443.2846204869525</v>
      </c>
      <c r="W17" s="747">
        <v>1237.2571775270646</v>
      </c>
      <c r="X17" s="747">
        <v>1405.3649035639733</v>
      </c>
    </row>
    <row r="18" spans="1:24" ht="15" customHeight="1" x14ac:dyDescent="0.25">
      <c r="A18" s="709" t="s">
        <v>573</v>
      </c>
      <c r="B18" s="709" t="s">
        <v>173</v>
      </c>
      <c r="C18" s="709" t="s">
        <v>174</v>
      </c>
      <c r="D18" s="747">
        <v>60</v>
      </c>
      <c r="E18" s="747">
        <v>274.38533998112302</v>
      </c>
      <c r="F18" s="747">
        <v>264.1482325797723</v>
      </c>
      <c r="G18" s="747">
        <v>266.22634002581316</v>
      </c>
      <c r="H18" s="747">
        <v>257.88916210805735</v>
      </c>
      <c r="I18" s="747">
        <v>267.57664302255017</v>
      </c>
      <c r="J18" s="747">
        <v>326.6633041220922</v>
      </c>
      <c r="K18" s="747">
        <v>308.84407452328486</v>
      </c>
      <c r="L18" s="747">
        <v>312.80035228500589</v>
      </c>
      <c r="M18" s="747">
        <v>298.96502282166932</v>
      </c>
      <c r="N18" s="747">
        <v>312.50012579675803</v>
      </c>
      <c r="O18" s="747">
        <v>1230.3407902150761</v>
      </c>
      <c r="P18" s="747">
        <v>1149.5098440363631</v>
      </c>
      <c r="Q18" s="747">
        <v>1205.9789788747651</v>
      </c>
      <c r="R18" s="747">
        <v>1040.8958212459549</v>
      </c>
      <c r="S18" s="747">
        <v>1158.5401938511011</v>
      </c>
      <c r="T18" s="747">
        <v>1491.685352642955</v>
      </c>
      <c r="U18" s="747">
        <v>1288.4222584313368</v>
      </c>
      <c r="V18" s="747">
        <v>1404.8899339421841</v>
      </c>
      <c r="W18" s="747">
        <v>1201.3422969228295</v>
      </c>
      <c r="X18" s="747">
        <v>1366.3732723426513</v>
      </c>
    </row>
    <row r="19" spans="1:24" ht="15" customHeight="1" x14ac:dyDescent="0.25">
      <c r="A19" s="709" t="s">
        <v>573</v>
      </c>
      <c r="B19" s="709" t="s">
        <v>173</v>
      </c>
      <c r="C19" s="709" t="s">
        <v>174</v>
      </c>
      <c r="D19" s="747">
        <v>65</v>
      </c>
      <c r="E19" s="747">
        <v>275.23568846184986</v>
      </c>
      <c r="F19" s="747">
        <v>265.69692166219346</v>
      </c>
      <c r="G19" s="747">
        <v>269.70613358940625</v>
      </c>
      <c r="H19" s="747">
        <v>260.58506207238526</v>
      </c>
      <c r="I19" s="747">
        <v>270.20539411871584</v>
      </c>
      <c r="J19" s="747">
        <v>327.67566740793148</v>
      </c>
      <c r="K19" s="747">
        <v>310.6548132956529</v>
      </c>
      <c r="L19" s="747">
        <v>316.88890585361776</v>
      </c>
      <c r="M19" s="747">
        <v>302.0903181530897</v>
      </c>
      <c r="N19" s="747">
        <v>315.57021830917103</v>
      </c>
      <c r="O19" s="747">
        <v>1293.1676842644067</v>
      </c>
      <c r="P19" s="747">
        <v>1242.6391209484771</v>
      </c>
      <c r="Q19" s="747">
        <v>1288.0691245705675</v>
      </c>
      <c r="R19" s="747">
        <v>1125.2304003191205</v>
      </c>
      <c r="S19" s="747">
        <v>1244.3977258517461</v>
      </c>
      <c r="T19" s="747">
        <v>1536.8818316065253</v>
      </c>
      <c r="U19" s="747">
        <v>1356.5189533656016</v>
      </c>
      <c r="V19" s="747">
        <v>1465.7316799319742</v>
      </c>
      <c r="W19" s="747">
        <v>1264.8410137576493</v>
      </c>
      <c r="X19" s="747">
        <v>1431.6811347487762</v>
      </c>
    </row>
    <row r="20" spans="1:24" ht="15" customHeight="1" x14ac:dyDescent="0.25">
      <c r="A20" s="709" t="s">
        <v>573</v>
      </c>
      <c r="B20" s="709" t="s">
        <v>173</v>
      </c>
      <c r="C20" s="709" t="s">
        <v>174</v>
      </c>
      <c r="D20" s="747">
        <v>70</v>
      </c>
      <c r="E20" s="747">
        <v>281.14828028946613</v>
      </c>
      <c r="F20" s="747">
        <v>275.27085343018302</v>
      </c>
      <c r="G20" s="747">
        <v>279.12918989822168</v>
      </c>
      <c r="H20" s="747">
        <v>269.97551868630637</v>
      </c>
      <c r="I20" s="747">
        <v>279.52070892698316</v>
      </c>
      <c r="J20" s="747">
        <v>334.7147708180018</v>
      </c>
      <c r="K20" s="747">
        <v>321.84872539400789</v>
      </c>
      <c r="L20" s="747">
        <v>327.96044495344205</v>
      </c>
      <c r="M20" s="747">
        <v>312.97646029624224</v>
      </c>
      <c r="N20" s="747">
        <v>326.44948271931099</v>
      </c>
      <c r="O20" s="747">
        <v>1352.6800839907271</v>
      </c>
      <c r="P20" s="747">
        <v>1331.926733396949</v>
      </c>
      <c r="Q20" s="747">
        <v>1366.4653434671961</v>
      </c>
      <c r="R20" s="747">
        <v>1206.0847850214107</v>
      </c>
      <c r="S20" s="747">
        <v>1326.5555083296235</v>
      </c>
      <c r="T20" s="747">
        <v>1575.7440213899636</v>
      </c>
      <c r="U20" s="747">
        <v>1417.1130249376804</v>
      </c>
      <c r="V20" s="747">
        <v>1519.3265471284662</v>
      </c>
      <c r="W20" s="747">
        <v>1321.3439478888083</v>
      </c>
      <c r="X20" s="747">
        <v>1489.514384077032</v>
      </c>
    </row>
    <row r="21" spans="1:24" ht="15" customHeight="1" x14ac:dyDescent="0.25">
      <c r="A21" s="709" t="s">
        <v>573</v>
      </c>
      <c r="B21" s="709" t="s">
        <v>173</v>
      </c>
      <c r="C21" s="709" t="s">
        <v>174</v>
      </c>
      <c r="D21" s="747">
        <v>75</v>
      </c>
      <c r="E21" s="747">
        <v>290.41527936244069</v>
      </c>
      <c r="F21" s="747">
        <v>290.72812941796457</v>
      </c>
      <c r="G21" s="747">
        <v>292.46089807358658</v>
      </c>
      <c r="H21" s="747">
        <v>285.13578672288457</v>
      </c>
      <c r="I21" s="747">
        <v>293.95548423148961</v>
      </c>
      <c r="J21" s="747">
        <v>345.74738843774236</v>
      </c>
      <c r="K21" s="747">
        <v>339.92148723107863</v>
      </c>
      <c r="L21" s="747">
        <v>343.62442100258392</v>
      </c>
      <c r="M21" s="747">
        <v>330.55141320426372</v>
      </c>
      <c r="N21" s="747">
        <v>343.30771461710054</v>
      </c>
      <c r="O21" s="747">
        <v>1350.6332333735938</v>
      </c>
      <c r="P21" s="747">
        <v>1336.1890329163002</v>
      </c>
      <c r="Q21" s="747">
        <v>1368.1426814671611</v>
      </c>
      <c r="R21" s="747">
        <v>1209.9462578974055</v>
      </c>
      <c r="S21" s="747">
        <v>1329.4182502833119</v>
      </c>
      <c r="T21" s="747">
        <v>1537.4535222444288</v>
      </c>
      <c r="U21" s="747">
        <v>1378.4110832269162</v>
      </c>
      <c r="V21" s="747">
        <v>1479.7266856211818</v>
      </c>
      <c r="W21" s="747">
        <v>1285.2582032890975</v>
      </c>
      <c r="X21" s="747">
        <v>1449.8107315197351</v>
      </c>
    </row>
    <row r="22" spans="1:24" ht="15" customHeight="1" x14ac:dyDescent="0.25">
      <c r="A22" s="710" t="s">
        <v>573</v>
      </c>
      <c r="B22" s="710" t="s">
        <v>173</v>
      </c>
      <c r="C22" s="711" t="s">
        <v>175</v>
      </c>
      <c r="D22" s="745" t="s">
        <v>574</v>
      </c>
      <c r="E22" s="745">
        <v>0.1529664792423879</v>
      </c>
      <c r="F22" s="745">
        <v>0.10954492438742235</v>
      </c>
      <c r="G22" s="745">
        <v>0.1276338039956503</v>
      </c>
      <c r="H22" s="745">
        <v>0.10371567888849435</v>
      </c>
      <c r="I22" s="745">
        <v>0.11613536328169603</v>
      </c>
      <c r="J22" s="745">
        <v>0.20675298379953899</v>
      </c>
      <c r="K22" s="745">
        <v>0.13875442712462288</v>
      </c>
      <c r="L22" s="745">
        <v>0.16773644104529539</v>
      </c>
      <c r="M22" s="745">
        <v>0.12993988119309918</v>
      </c>
      <c r="N22" s="745">
        <v>0.14941526928904608</v>
      </c>
      <c r="O22" s="745">
        <v>3.012882830539644</v>
      </c>
      <c r="P22" s="745">
        <v>2.6960922135120251</v>
      </c>
      <c r="Q22" s="745">
        <v>2.8790952391606779</v>
      </c>
      <c r="R22" s="745">
        <v>2.8968408202910179</v>
      </c>
      <c r="S22" s="745">
        <v>2.8670473627282118</v>
      </c>
      <c r="T22" s="745">
        <v>2.0085563447633725</v>
      </c>
      <c r="U22" s="745">
        <v>2.0936418188174417</v>
      </c>
      <c r="V22" s="745">
        <v>1.9539740280543716</v>
      </c>
      <c r="W22" s="745">
        <v>2.410911593571325</v>
      </c>
      <c r="X22" s="745">
        <v>2.183294820930056</v>
      </c>
    </row>
    <row r="23" spans="1:24" ht="15" customHeight="1" x14ac:dyDescent="0.25">
      <c r="A23" s="710" t="s">
        <v>573</v>
      </c>
      <c r="B23" s="710" t="s">
        <v>173</v>
      </c>
      <c r="C23" s="711" t="s">
        <v>175</v>
      </c>
      <c r="D23" s="741">
        <v>2.5</v>
      </c>
      <c r="E23" s="741">
        <v>0.38256007437183626</v>
      </c>
      <c r="F23" s="741">
        <v>0.30071798674786282</v>
      </c>
      <c r="G23" s="741">
        <v>0.34477855631940113</v>
      </c>
      <c r="H23" s="741">
        <v>0.27353659441095718</v>
      </c>
      <c r="I23" s="741">
        <v>0.32237912696757681</v>
      </c>
      <c r="J23" s="741">
        <v>0.51706283215802396</v>
      </c>
      <c r="K23" s="741">
        <v>0.38090272924567853</v>
      </c>
      <c r="L23" s="741">
        <v>0.4531179439103204</v>
      </c>
      <c r="M23" s="741">
        <v>0.34272890789863519</v>
      </c>
      <c r="N23" s="741">
        <v>0.41475811191687062</v>
      </c>
      <c r="O23" s="741">
        <v>17.815801073507817</v>
      </c>
      <c r="P23" s="741">
        <v>17.501367783431302</v>
      </c>
      <c r="Q23" s="741">
        <v>19.98012099402893</v>
      </c>
      <c r="R23" s="741">
        <v>16.030580635204366</v>
      </c>
      <c r="S23" s="741">
        <v>18.157728187872181</v>
      </c>
      <c r="T23" s="741">
        <v>12.014237856637765</v>
      </c>
      <c r="U23" s="741">
        <v>12.644445627501804</v>
      </c>
      <c r="V23" s="741">
        <v>12.58900487420299</v>
      </c>
      <c r="W23" s="741">
        <v>12.118981682065838</v>
      </c>
      <c r="X23" s="741">
        <v>12.900687988822003</v>
      </c>
    </row>
    <row r="24" spans="1:24" ht="15" customHeight="1" x14ac:dyDescent="0.25">
      <c r="A24" s="710" t="s">
        <v>573</v>
      </c>
      <c r="B24" s="710" t="s">
        <v>173</v>
      </c>
      <c r="C24" s="711" t="s">
        <v>175</v>
      </c>
      <c r="D24" s="741">
        <v>5</v>
      </c>
      <c r="E24" s="741">
        <v>0.25077575463428436</v>
      </c>
      <c r="F24" s="741">
        <v>0.20833099311430631</v>
      </c>
      <c r="G24" s="741">
        <v>0.23482688255952269</v>
      </c>
      <c r="H24" s="741">
        <v>0.1895268908520277</v>
      </c>
      <c r="I24" s="741">
        <v>0.22118852620640242</v>
      </c>
      <c r="J24" s="741">
        <v>0.33894499351685281</v>
      </c>
      <c r="K24" s="741">
        <v>0.26388126869922224</v>
      </c>
      <c r="L24" s="741">
        <v>0.30861627630248795</v>
      </c>
      <c r="M24" s="741">
        <v>0.23746857146853953</v>
      </c>
      <c r="N24" s="741">
        <v>0.28457095336780108</v>
      </c>
      <c r="O24" s="741">
        <v>9.4128988876052109</v>
      </c>
      <c r="P24" s="741">
        <v>8.8353802504520065</v>
      </c>
      <c r="Q24" s="741">
        <v>10.314865482917552</v>
      </c>
      <c r="R24" s="741">
        <v>8.0928663939112404</v>
      </c>
      <c r="S24" s="741">
        <v>9.2740219628380434</v>
      </c>
      <c r="T24" s="741">
        <v>6.2259623205341326</v>
      </c>
      <c r="U24" s="741">
        <v>6.3724845710145486</v>
      </c>
      <c r="V24" s="741">
        <v>6.3970334244724283</v>
      </c>
      <c r="W24" s="741">
        <v>6.1076661972376796</v>
      </c>
      <c r="X24" s="741">
        <v>6.5327073229363037</v>
      </c>
    </row>
    <row r="25" spans="1:24" ht="15" customHeight="1" x14ac:dyDescent="0.25">
      <c r="A25" s="710" t="s">
        <v>573</v>
      </c>
      <c r="B25" s="710" t="s">
        <v>173</v>
      </c>
      <c r="C25" s="711" t="s">
        <v>175</v>
      </c>
      <c r="D25" s="741">
        <v>10</v>
      </c>
      <c r="E25" s="741">
        <v>0.17912763132216891</v>
      </c>
      <c r="F25" s="741">
        <v>0.16056150136607095</v>
      </c>
      <c r="G25" s="741">
        <v>0.17338475835647654</v>
      </c>
      <c r="H25" s="741">
        <v>0.14611065950960397</v>
      </c>
      <c r="I25" s="741">
        <v>0.1673063735541431</v>
      </c>
      <c r="J25" s="741">
        <v>0.24210639471795758</v>
      </c>
      <c r="K25" s="741">
        <v>0.20337431340080891</v>
      </c>
      <c r="L25" s="741">
        <v>0.22786726080230274</v>
      </c>
      <c r="M25" s="741">
        <v>0.18307000887362798</v>
      </c>
      <c r="N25" s="741">
        <v>0.21524866159822464</v>
      </c>
      <c r="O25" s="741">
        <v>5.5195666610116998</v>
      </c>
      <c r="P25" s="741">
        <v>4.9470242793636592</v>
      </c>
      <c r="Q25" s="741">
        <v>6.1762214960073907</v>
      </c>
      <c r="R25" s="741">
        <v>4.5312835300665286</v>
      </c>
      <c r="S25" s="741">
        <v>5.3375762009546639</v>
      </c>
      <c r="T25" s="741">
        <v>3.6297126422851842</v>
      </c>
      <c r="U25" s="741">
        <v>3.8501615983914212</v>
      </c>
      <c r="V25" s="741">
        <v>3.80340060299898</v>
      </c>
      <c r="W25" s="741">
        <v>3.6901666949116776</v>
      </c>
      <c r="X25" s="741">
        <v>3.9163599138187211</v>
      </c>
    </row>
    <row r="26" spans="1:24" ht="15" customHeight="1" x14ac:dyDescent="0.25">
      <c r="A26" s="710" t="s">
        <v>573</v>
      </c>
      <c r="B26" s="710" t="s">
        <v>173</v>
      </c>
      <c r="C26" s="711" t="s">
        <v>175</v>
      </c>
      <c r="D26" s="741">
        <v>15</v>
      </c>
      <c r="E26" s="741">
        <v>0.14884313283923203</v>
      </c>
      <c r="F26" s="741">
        <v>0.14323764532984073</v>
      </c>
      <c r="G26" s="741">
        <v>0.14201995511699014</v>
      </c>
      <c r="H26" s="741">
        <v>0.13038377042840735</v>
      </c>
      <c r="I26" s="741">
        <v>0.14485036345530097</v>
      </c>
      <c r="J26" s="741">
        <v>0.20117429122601641</v>
      </c>
      <c r="K26" s="741">
        <v>0.18143114958602857</v>
      </c>
      <c r="L26" s="741">
        <v>0.18664672984253514</v>
      </c>
      <c r="M26" s="741">
        <v>0.16336493236988403</v>
      </c>
      <c r="N26" s="741">
        <v>0.18635779500462329</v>
      </c>
      <c r="O26" s="741">
        <v>4.3978577679470519</v>
      </c>
      <c r="P26" s="741">
        <v>3.7352657878106155</v>
      </c>
      <c r="Q26" s="741">
        <v>4.9799048287965002</v>
      </c>
      <c r="R26" s="741">
        <v>3.4213583695728942</v>
      </c>
      <c r="S26" s="741">
        <v>4.1476220299146274</v>
      </c>
      <c r="T26" s="741">
        <v>3.0141309993341929</v>
      </c>
      <c r="U26" s="741">
        <v>3.2538276444788572</v>
      </c>
      <c r="V26" s="741">
        <v>3.1918537069647419</v>
      </c>
      <c r="W26" s="741">
        <v>3.1186088064010002</v>
      </c>
      <c r="X26" s="741">
        <v>3.2981603533131167</v>
      </c>
    </row>
    <row r="27" spans="1:24" ht="15" customHeight="1" x14ac:dyDescent="0.25">
      <c r="A27" s="710" t="s">
        <v>573</v>
      </c>
      <c r="B27" s="710" t="s">
        <v>173</v>
      </c>
      <c r="C27" s="711" t="s">
        <v>175</v>
      </c>
      <c r="D27" s="741">
        <v>20</v>
      </c>
      <c r="E27" s="741">
        <v>0.13185782217572786</v>
      </c>
      <c r="F27" s="741">
        <v>0.13270294930565346</v>
      </c>
      <c r="G27" s="741">
        <v>0.12134119480421132</v>
      </c>
      <c r="H27" s="741">
        <v>0.12082630484065017</v>
      </c>
      <c r="I27" s="741">
        <v>0.13083439759741056</v>
      </c>
      <c r="J27" s="741">
        <v>0.17821718350593826</v>
      </c>
      <c r="K27" s="741">
        <v>0.16808743672474571</v>
      </c>
      <c r="L27" s="741">
        <v>0.15947010535762832</v>
      </c>
      <c r="M27" s="741">
        <v>0.15138986281758288</v>
      </c>
      <c r="N27" s="741">
        <v>0.16832549995316784</v>
      </c>
      <c r="O27" s="741">
        <v>3.84267914865364</v>
      </c>
      <c r="P27" s="741">
        <v>3.4301891911653914</v>
      </c>
      <c r="Q27" s="741">
        <v>4.3482475198311494</v>
      </c>
      <c r="R27" s="741">
        <v>3.1419221588070831</v>
      </c>
      <c r="S27" s="741">
        <v>3.722499374550666</v>
      </c>
      <c r="T27" s="741">
        <v>2.6740296894488944</v>
      </c>
      <c r="U27" s="741">
        <v>2.8643752908033044</v>
      </c>
      <c r="V27" s="741">
        <v>2.818082494022967</v>
      </c>
      <c r="W27" s="741">
        <v>2.745344222504603</v>
      </c>
      <c r="X27" s="741">
        <v>2.9077621833325891</v>
      </c>
    </row>
    <row r="28" spans="1:24" x14ac:dyDescent="0.25">
      <c r="A28" s="710" t="s">
        <v>573</v>
      </c>
      <c r="B28" s="710" t="s">
        <v>173</v>
      </c>
      <c r="C28" s="711" t="s">
        <v>175</v>
      </c>
      <c r="D28" s="741">
        <v>25</v>
      </c>
      <c r="E28" s="741">
        <v>0.13017736204793329</v>
      </c>
      <c r="F28" s="741">
        <v>0.12415303297184767</v>
      </c>
      <c r="G28" s="741">
        <v>0.11801600991580707</v>
      </c>
      <c r="H28" s="741">
        <v>0.1130622249377304</v>
      </c>
      <c r="I28" s="741">
        <v>0.12419054534972021</v>
      </c>
      <c r="J28" s="741">
        <v>0.17594589716108686</v>
      </c>
      <c r="K28" s="741">
        <v>0.15725773378083971</v>
      </c>
      <c r="L28" s="741">
        <v>0.15510005126888274</v>
      </c>
      <c r="M28" s="741">
        <v>0.14166182393600046</v>
      </c>
      <c r="N28" s="741">
        <v>0.15977782616291081</v>
      </c>
      <c r="O28" s="741">
        <v>3.4918957380869813</v>
      </c>
      <c r="P28" s="741">
        <v>3.2273233344082164</v>
      </c>
      <c r="Q28" s="741">
        <v>3.915624971375061</v>
      </c>
      <c r="R28" s="741">
        <v>2.9561049165907254</v>
      </c>
      <c r="S28" s="741">
        <v>3.4375994628968907</v>
      </c>
      <c r="T28" s="741">
        <v>2.457889922221193</v>
      </c>
      <c r="U28" s="741">
        <v>2.5950687147212124</v>
      </c>
      <c r="V28" s="741">
        <v>2.5672247908922521</v>
      </c>
      <c r="W28" s="741">
        <v>2.4872278446544218</v>
      </c>
      <c r="X28" s="741">
        <v>2.6418136594310342</v>
      </c>
    </row>
    <row r="29" spans="1:24" x14ac:dyDescent="0.25">
      <c r="A29" s="710" t="s">
        <v>573</v>
      </c>
      <c r="B29" s="710" t="s">
        <v>173</v>
      </c>
      <c r="C29" s="711" t="s">
        <v>175</v>
      </c>
      <c r="D29" s="741">
        <v>30</v>
      </c>
      <c r="E29" s="741">
        <v>0.13283328571643729</v>
      </c>
      <c r="F29" s="741">
        <v>0.1116023158333794</v>
      </c>
      <c r="G29" s="741">
        <v>0.11783982910784992</v>
      </c>
      <c r="H29" s="741">
        <v>0.10164791007180975</v>
      </c>
      <c r="I29" s="741">
        <v>0.11614698378978118</v>
      </c>
      <c r="J29" s="741">
        <v>0.17953560634934218</v>
      </c>
      <c r="K29" s="741">
        <v>0.14136043923011044</v>
      </c>
      <c r="L29" s="741">
        <v>0.15486850935888047</v>
      </c>
      <c r="M29" s="741">
        <v>0.1273602067179006</v>
      </c>
      <c r="N29" s="741">
        <v>0.14942935094657661</v>
      </c>
      <c r="O29" s="741">
        <v>3.3884114546705653</v>
      </c>
      <c r="P29" s="741">
        <v>3.1494188690527549</v>
      </c>
      <c r="Q29" s="741">
        <v>3.7696265192504756</v>
      </c>
      <c r="R29" s="741">
        <v>2.8847509681667489</v>
      </c>
      <c r="S29" s="741">
        <v>3.3371506543207752</v>
      </c>
      <c r="T29" s="741">
        <v>2.3996615082577151</v>
      </c>
      <c r="U29" s="741">
        <v>2.4994625037165896</v>
      </c>
      <c r="V29" s="741">
        <v>2.4855674389070974</v>
      </c>
      <c r="W29" s="741">
        <v>2.3955960569278458</v>
      </c>
      <c r="X29" s="741">
        <v>2.5513036344222839</v>
      </c>
    </row>
    <row r="30" spans="1:24" x14ac:dyDescent="0.25">
      <c r="A30" s="710" t="s">
        <v>573</v>
      </c>
      <c r="B30" s="710" t="s">
        <v>173</v>
      </c>
      <c r="C30" s="711" t="s">
        <v>175</v>
      </c>
      <c r="D30" s="741">
        <v>35</v>
      </c>
      <c r="E30" s="741">
        <v>0.14141881544583218</v>
      </c>
      <c r="F30" s="741">
        <v>0.10947652490164797</v>
      </c>
      <c r="G30" s="741">
        <v>0.12246743836071015</v>
      </c>
      <c r="H30" s="741">
        <v>9.801444214332676E-2</v>
      </c>
      <c r="I30" s="741">
        <v>0.11583551609986109</v>
      </c>
      <c r="J30" s="741">
        <v>0.1911396879429248</v>
      </c>
      <c r="K30" s="741">
        <v>0.13866781822509841</v>
      </c>
      <c r="L30" s="741">
        <v>0.16095024719159506</v>
      </c>
      <c r="M30" s="741">
        <v>0.12280763671279635</v>
      </c>
      <c r="N30" s="741">
        <v>0.14902863098617</v>
      </c>
      <c r="O30" s="741">
        <v>3.0029092480259729</v>
      </c>
      <c r="P30" s="741">
        <v>2.7876555623855355</v>
      </c>
      <c r="Q30" s="741">
        <v>3.2431076904528222</v>
      </c>
      <c r="R30" s="741">
        <v>2.5533837774104629</v>
      </c>
      <c r="S30" s="741">
        <v>2.9255385306378177</v>
      </c>
      <c r="T30" s="741">
        <v>2.1590249742210386</v>
      </c>
      <c r="U30" s="741">
        <v>2.1622256826922919</v>
      </c>
      <c r="V30" s="741">
        <v>2.1834373063503474</v>
      </c>
      <c r="W30" s="741">
        <v>2.0723745310037573</v>
      </c>
      <c r="X30" s="741">
        <v>2.2246057400474553</v>
      </c>
    </row>
    <row r="31" spans="1:24" x14ac:dyDescent="0.25">
      <c r="A31" s="710" t="s">
        <v>573</v>
      </c>
      <c r="B31" s="710" t="s">
        <v>173</v>
      </c>
      <c r="C31" s="711" t="s">
        <v>175</v>
      </c>
      <c r="D31" s="741">
        <v>40</v>
      </c>
      <c r="E31" s="741">
        <v>0.14716143699374437</v>
      </c>
      <c r="F31" s="741">
        <v>0.10955810717290437</v>
      </c>
      <c r="G31" s="741">
        <v>0.12590824406312501</v>
      </c>
      <c r="H31" s="741">
        <v>9.6357698774315714E-2</v>
      </c>
      <c r="I31" s="741">
        <v>0.11640485011891143</v>
      </c>
      <c r="J31" s="741">
        <v>0.1989013347024586</v>
      </c>
      <c r="K31" s="741">
        <v>0.1387711539454379</v>
      </c>
      <c r="L31" s="741">
        <v>0.16547225349592209</v>
      </c>
      <c r="M31" s="741">
        <v>0.1207318126470906</v>
      </c>
      <c r="N31" s="741">
        <v>0.1497611098690696</v>
      </c>
      <c r="O31" s="741">
        <v>2.9462817342295544</v>
      </c>
      <c r="P31" s="741">
        <v>2.6775669299621647</v>
      </c>
      <c r="Q31" s="741">
        <v>3.1224978355116413</v>
      </c>
      <c r="R31" s="741">
        <v>2.4525489218115268</v>
      </c>
      <c r="S31" s="741">
        <v>2.8178362545058824</v>
      </c>
      <c r="T31" s="741">
        <v>2.1198862015845501</v>
      </c>
      <c r="U31" s="741">
        <v>2.0798344989774749</v>
      </c>
      <c r="V31" s="741">
        <v>2.1174779519245921</v>
      </c>
      <c r="W31" s="741">
        <v>1.9934067277529059</v>
      </c>
      <c r="X31" s="741">
        <v>2.1489333181035861</v>
      </c>
    </row>
    <row r="32" spans="1:24" x14ac:dyDescent="0.25">
      <c r="A32" s="710" t="s">
        <v>573</v>
      </c>
      <c r="B32" s="710" t="s">
        <v>173</v>
      </c>
      <c r="C32" s="711" t="s">
        <v>175</v>
      </c>
      <c r="D32" s="741">
        <v>45</v>
      </c>
      <c r="E32" s="741">
        <v>0.15027782324065547</v>
      </c>
      <c r="F32" s="741">
        <v>0.10963563921337161</v>
      </c>
      <c r="G32" s="741">
        <v>0.12809048773890036</v>
      </c>
      <c r="H32" s="741">
        <v>9.5892340681180271E-2</v>
      </c>
      <c r="I32" s="741">
        <v>0.11703160121782198</v>
      </c>
      <c r="J32" s="741">
        <v>0.20311339865495556</v>
      </c>
      <c r="K32" s="741">
        <v>0.13886935946396153</v>
      </c>
      <c r="L32" s="741">
        <v>0.16834022120839956</v>
      </c>
      <c r="M32" s="741">
        <v>0.12014874012845535</v>
      </c>
      <c r="N32" s="741">
        <v>0.15056745891800202</v>
      </c>
      <c r="O32" s="741">
        <v>2.8961575902291137</v>
      </c>
      <c r="P32" s="741">
        <v>2.5922521850579168</v>
      </c>
      <c r="Q32" s="741">
        <v>3.0244442038330783</v>
      </c>
      <c r="R32" s="741">
        <v>2.3744040527323866</v>
      </c>
      <c r="S32" s="741">
        <v>2.7324085865569794</v>
      </c>
      <c r="T32" s="741">
        <v>2.0854670285441017</v>
      </c>
      <c r="U32" s="741">
        <v>2.0149742167741724</v>
      </c>
      <c r="V32" s="741">
        <v>2.0641141607166493</v>
      </c>
      <c r="W32" s="741">
        <v>1.9312429068289929</v>
      </c>
      <c r="X32" s="741">
        <v>2.0886029615454356</v>
      </c>
    </row>
    <row r="33" spans="1:24" x14ac:dyDescent="0.25">
      <c r="A33" s="710" t="s">
        <v>573</v>
      </c>
      <c r="B33" s="710" t="s">
        <v>173</v>
      </c>
      <c r="C33" s="711" t="s">
        <v>175</v>
      </c>
      <c r="D33" s="741">
        <v>50</v>
      </c>
      <c r="E33" s="741">
        <v>0.14981864223348532</v>
      </c>
      <c r="F33" s="741">
        <v>0.10993490195816982</v>
      </c>
      <c r="G33" s="741">
        <v>0.12795025816238048</v>
      </c>
      <c r="H33" s="741">
        <v>9.7025083972071921E-2</v>
      </c>
      <c r="I33" s="741">
        <v>0.1175914746268432</v>
      </c>
      <c r="J33" s="741">
        <v>0.20249277604442723</v>
      </c>
      <c r="K33" s="741">
        <v>0.13924841891926029</v>
      </c>
      <c r="L33" s="741">
        <v>0.16815592744585697</v>
      </c>
      <c r="M33" s="741">
        <v>0.12156801593633332</v>
      </c>
      <c r="N33" s="741">
        <v>0.15128776621649984</v>
      </c>
      <c r="O33" s="741">
        <v>2.8339535667067945</v>
      </c>
      <c r="P33" s="741">
        <v>2.6670548502684746</v>
      </c>
      <c r="Q33" s="741">
        <v>2.9233484223270851</v>
      </c>
      <c r="R33" s="741">
        <v>2.4429221398275183</v>
      </c>
      <c r="S33" s="741">
        <v>2.7405681715532295</v>
      </c>
      <c r="T33" s="741">
        <v>2.0303422550408352</v>
      </c>
      <c r="U33" s="741">
        <v>1.9321510107094053</v>
      </c>
      <c r="V33" s="741">
        <v>1.9914997908080099</v>
      </c>
      <c r="W33" s="741">
        <v>1.8518614330745069</v>
      </c>
      <c r="X33" s="741">
        <v>2.0092054778945494</v>
      </c>
    </row>
    <row r="34" spans="1:24" x14ac:dyDescent="0.25">
      <c r="A34" s="710" t="s">
        <v>573</v>
      </c>
      <c r="B34" s="710" t="s">
        <v>173</v>
      </c>
      <c r="C34" s="711" t="s">
        <v>175</v>
      </c>
      <c r="D34" s="741">
        <v>55</v>
      </c>
      <c r="E34" s="741">
        <v>0.14846310876025173</v>
      </c>
      <c r="F34" s="741">
        <v>0.11103641594420076</v>
      </c>
      <c r="G34" s="741">
        <v>0.12726725755489021</v>
      </c>
      <c r="H34" s="741">
        <v>9.8711517461893911E-2</v>
      </c>
      <c r="I34" s="741">
        <v>0.11836512346204528</v>
      </c>
      <c r="J34" s="741">
        <v>0.20066065600966917</v>
      </c>
      <c r="K34" s="741">
        <v>0.14064364535090459</v>
      </c>
      <c r="L34" s="741">
        <v>0.16725830830660637</v>
      </c>
      <c r="M34" s="741">
        <v>0.12368104037262506</v>
      </c>
      <c r="N34" s="741">
        <v>0.15228310711587317</v>
      </c>
      <c r="O34" s="741">
        <v>2.7754543694546987</v>
      </c>
      <c r="P34" s="741">
        <v>2.728258067877273</v>
      </c>
      <c r="Q34" s="741">
        <v>2.8373547164916633</v>
      </c>
      <c r="R34" s="741">
        <v>2.49898447704398</v>
      </c>
      <c r="S34" s="741">
        <v>2.745561321944181</v>
      </c>
      <c r="T34" s="741">
        <v>1.9719905066215446</v>
      </c>
      <c r="U34" s="741">
        <v>1.8525339217959238</v>
      </c>
      <c r="V34" s="741">
        <v>1.9195555664234898</v>
      </c>
      <c r="W34" s="741">
        <v>1.7755541843966265</v>
      </c>
      <c r="X34" s="741">
        <v>1.9317521921232459</v>
      </c>
    </row>
    <row r="35" spans="1:24" x14ac:dyDescent="0.25">
      <c r="A35" s="710" t="s">
        <v>573</v>
      </c>
      <c r="B35" s="710" t="s">
        <v>173</v>
      </c>
      <c r="C35" s="711" t="s">
        <v>175</v>
      </c>
      <c r="D35" s="741">
        <v>60</v>
      </c>
      <c r="E35" s="741">
        <v>0.1475272100118469</v>
      </c>
      <c r="F35" s="741">
        <v>0.11188747376388671</v>
      </c>
      <c r="G35" s="741">
        <v>0.12759045701191618</v>
      </c>
      <c r="H35" s="741">
        <v>0.10096815843583443</v>
      </c>
      <c r="I35" s="741">
        <v>0.11970129265788397</v>
      </c>
      <c r="J35" s="741">
        <v>0.19939570838475576</v>
      </c>
      <c r="K35" s="741">
        <v>0.14172163290253068</v>
      </c>
      <c r="L35" s="741">
        <v>0.16768306637452077</v>
      </c>
      <c r="M35" s="741">
        <v>0.12650850884419626</v>
      </c>
      <c r="N35" s="741">
        <v>0.15400216075957657</v>
      </c>
      <c r="O35" s="741">
        <v>2.7488687373829563</v>
      </c>
      <c r="P35" s="741">
        <v>2.6994675971397366</v>
      </c>
      <c r="Q35" s="741">
        <v>2.8016198619319179</v>
      </c>
      <c r="R35" s="741">
        <v>2.472611234031763</v>
      </c>
      <c r="S35" s="741">
        <v>2.7150565477555042</v>
      </c>
      <c r="T35" s="741">
        <v>1.9331488812239528</v>
      </c>
      <c r="U35" s="741">
        <v>1.8073240289341426</v>
      </c>
      <c r="V35" s="741">
        <v>1.8764191572492983</v>
      </c>
      <c r="W35" s="741">
        <v>1.7322209490974951</v>
      </c>
      <c r="X35" s="741">
        <v>1.8865654061721266</v>
      </c>
    </row>
    <row r="36" spans="1:24" x14ac:dyDescent="0.25">
      <c r="A36" s="710" t="s">
        <v>573</v>
      </c>
      <c r="B36" s="710" t="s">
        <v>173</v>
      </c>
      <c r="C36" s="711" t="s">
        <v>175</v>
      </c>
      <c r="D36" s="741">
        <v>65</v>
      </c>
      <c r="E36" s="741">
        <v>0.15064942968455791</v>
      </c>
      <c r="F36" s="741">
        <v>0.1145354485852063</v>
      </c>
      <c r="G36" s="741">
        <v>0.13224675918392501</v>
      </c>
      <c r="H36" s="741">
        <v>0.10433548133513</v>
      </c>
      <c r="I36" s="741">
        <v>0.1234781530056822</v>
      </c>
      <c r="J36" s="741">
        <v>0.20361565671376597</v>
      </c>
      <c r="K36" s="741">
        <v>0.14507567516425993</v>
      </c>
      <c r="L36" s="741">
        <v>0.17380251327089688</v>
      </c>
      <c r="M36" s="741">
        <v>0.13072761123633825</v>
      </c>
      <c r="N36" s="741">
        <v>0.15886129503902402</v>
      </c>
      <c r="O36" s="741">
        <v>2.9414599930916072</v>
      </c>
      <c r="P36" s="741">
        <v>2.9779905200602235</v>
      </c>
      <c r="Q36" s="741">
        <v>3.0513949583450595</v>
      </c>
      <c r="R36" s="741">
        <v>2.7277278427240179</v>
      </c>
      <c r="S36" s="741">
        <v>2.975018080219745</v>
      </c>
      <c r="T36" s="741">
        <v>1.9895839346649684</v>
      </c>
      <c r="U36" s="741">
        <v>1.8914887496121739</v>
      </c>
      <c r="V36" s="741">
        <v>1.9503765482777746</v>
      </c>
      <c r="W36" s="741">
        <v>1.8128884466254118</v>
      </c>
      <c r="X36" s="741">
        <v>1.9673370687506033</v>
      </c>
    </row>
    <row r="37" spans="1:24" x14ac:dyDescent="0.25">
      <c r="A37" s="710" t="s">
        <v>573</v>
      </c>
      <c r="B37" s="710" t="s">
        <v>173</v>
      </c>
      <c r="C37" s="711" t="s">
        <v>175</v>
      </c>
      <c r="D37" s="741">
        <v>70</v>
      </c>
      <c r="E37" s="741">
        <v>0.15703865629849864</v>
      </c>
      <c r="F37" s="741">
        <v>0.12183446033310955</v>
      </c>
      <c r="G37" s="741">
        <v>0.14038737633568035</v>
      </c>
      <c r="H37" s="741">
        <v>0.11098415463876449</v>
      </c>
      <c r="I37" s="741">
        <v>0.13103893609306957</v>
      </c>
      <c r="J37" s="741">
        <v>0.21225124581366925</v>
      </c>
      <c r="K37" s="741">
        <v>0.1543209269220262</v>
      </c>
      <c r="L37" s="741">
        <v>0.18450114762142564</v>
      </c>
      <c r="M37" s="741">
        <v>0.13905809639587047</v>
      </c>
      <c r="N37" s="741">
        <v>0.1685886497453763</v>
      </c>
      <c r="O37" s="741">
        <v>3.1254774108163397</v>
      </c>
      <c r="P37" s="741">
        <v>3.2416983254425999</v>
      </c>
      <c r="Q37" s="741">
        <v>3.2886045828877646</v>
      </c>
      <c r="R37" s="741">
        <v>2.9692753587483374</v>
      </c>
      <c r="S37" s="741">
        <v>3.2215222785176754</v>
      </c>
      <c r="T37" s="741">
        <v>2.0388083594782529</v>
      </c>
      <c r="U37" s="741">
        <v>1.9665948606808188</v>
      </c>
      <c r="V37" s="741">
        <v>2.0159171386858405</v>
      </c>
      <c r="W37" s="741">
        <v>1.8848726774526861</v>
      </c>
      <c r="X37" s="741">
        <v>2.0391743502876287</v>
      </c>
    </row>
    <row r="38" spans="1:24" x14ac:dyDescent="0.25">
      <c r="A38" s="710" t="s">
        <v>573</v>
      </c>
      <c r="B38" s="710" t="s">
        <v>173</v>
      </c>
      <c r="C38" s="711" t="s">
        <v>175</v>
      </c>
      <c r="D38" s="741">
        <v>75</v>
      </c>
      <c r="E38" s="741">
        <v>0.16523888624040375</v>
      </c>
      <c r="F38" s="741">
        <v>0.13185452671229342</v>
      </c>
      <c r="G38" s="741">
        <v>0.15047240919121463</v>
      </c>
      <c r="H38" s="741">
        <v>0.12011155161377257</v>
      </c>
      <c r="I38" s="741">
        <v>0.14106348430147403</v>
      </c>
      <c r="J38" s="741">
        <v>0.22333456161726067</v>
      </c>
      <c r="K38" s="741">
        <v>0.16701278706757211</v>
      </c>
      <c r="L38" s="741">
        <v>0.19775518928965041</v>
      </c>
      <c r="M38" s="741">
        <v>0.15049430954292028</v>
      </c>
      <c r="N38" s="741">
        <v>0.18148577099155314</v>
      </c>
      <c r="O38" s="741">
        <v>3.1424338612906073</v>
      </c>
      <c r="P38" s="741">
        <v>3.2745967937055185</v>
      </c>
      <c r="Q38" s="741">
        <v>3.3156125558778977</v>
      </c>
      <c r="R38" s="741">
        <v>2.9994070603002543</v>
      </c>
      <c r="S38" s="741">
        <v>3.2509455016159525</v>
      </c>
      <c r="T38" s="741">
        <v>1.9877862639009367</v>
      </c>
      <c r="U38" s="741">
        <v>1.9100820892095227</v>
      </c>
      <c r="V38" s="741">
        <v>1.9610112921762335</v>
      </c>
      <c r="W38" s="741">
        <v>1.8307089523771571</v>
      </c>
      <c r="X38" s="741">
        <v>1.9821718107396384</v>
      </c>
    </row>
    <row r="39" spans="1:24" x14ac:dyDescent="0.25">
      <c r="A39" s="712" t="s">
        <v>573</v>
      </c>
      <c r="B39" s="712" t="s">
        <v>173</v>
      </c>
      <c r="C39" s="712" t="s">
        <v>176</v>
      </c>
      <c r="D39" s="745" t="s">
        <v>574</v>
      </c>
      <c r="E39" s="745">
        <v>2.1672100337498008E-3</v>
      </c>
      <c r="F39" s="745">
        <v>2.7880450660449454E-3</v>
      </c>
      <c r="G39" s="745">
        <v>2.6549735566977991E-3</v>
      </c>
      <c r="H39" s="745">
        <v>3.7891954175499694E-3</v>
      </c>
      <c r="I39" s="745">
        <v>3.1367318849430999E-3</v>
      </c>
      <c r="J39" s="745">
        <v>2.5865737942571292E-3</v>
      </c>
      <c r="K39" s="745">
        <v>3.2708575431816926E-3</v>
      </c>
      <c r="L39" s="745">
        <v>3.2002919555268626E-3</v>
      </c>
      <c r="M39" s="745">
        <v>4.5136499318043175E-3</v>
      </c>
      <c r="N39" s="745">
        <v>3.7400019499156025E-3</v>
      </c>
      <c r="O39" s="745">
        <v>3.1310264079648216E-2</v>
      </c>
      <c r="P39" s="745">
        <v>4.1189556145639336E-2</v>
      </c>
      <c r="Q39" s="745">
        <v>3.6932977997252661E-2</v>
      </c>
      <c r="R39" s="745">
        <v>5.2062936654441477E-2</v>
      </c>
      <c r="S39" s="745">
        <v>4.3851244188015767E-2</v>
      </c>
      <c r="T39" s="745">
        <v>1.8093539570499237E-2</v>
      </c>
      <c r="U39" s="745">
        <v>2.753773169975568E-2</v>
      </c>
      <c r="V39" s="745">
        <v>2.1738101320108387E-2</v>
      </c>
      <c r="W39" s="745">
        <v>3.8978021281281847E-2</v>
      </c>
      <c r="X39" s="745">
        <v>3.0009275564825737E-2</v>
      </c>
    </row>
    <row r="40" spans="1:24" x14ac:dyDescent="0.25">
      <c r="A40" s="712" t="s">
        <v>573</v>
      </c>
      <c r="B40" s="712" t="s">
        <v>173</v>
      </c>
      <c r="C40" s="712" t="s">
        <v>176</v>
      </c>
      <c r="D40" s="741">
        <v>2.5</v>
      </c>
      <c r="E40" s="741">
        <v>1.2483039899797625E-2</v>
      </c>
      <c r="F40" s="741">
        <v>2.2675551892007244E-2</v>
      </c>
      <c r="G40" s="741">
        <v>1.8350277772012112E-2</v>
      </c>
      <c r="H40" s="741">
        <v>2.399713249982531E-2</v>
      </c>
      <c r="I40" s="741">
        <v>2.2013041293928452E-2</v>
      </c>
      <c r="J40" s="741">
        <v>1.4899140801621026E-2</v>
      </c>
      <c r="K40" s="741">
        <v>2.6601575939012519E-2</v>
      </c>
      <c r="L40" s="741">
        <v>2.2128163610286092E-2</v>
      </c>
      <c r="M40" s="741">
        <v>2.8589363923783626E-2</v>
      </c>
      <c r="N40" s="741">
        <v>2.6247844652415607E-2</v>
      </c>
      <c r="O40" s="741">
        <v>0.21925338456383608</v>
      </c>
      <c r="P40" s="741">
        <v>0.28219496055460114</v>
      </c>
      <c r="Q40" s="741">
        <v>0.29958719698518127</v>
      </c>
      <c r="R40" s="741">
        <v>0.27574077885616999</v>
      </c>
      <c r="S40" s="741">
        <v>0.28642449292994504</v>
      </c>
      <c r="T40" s="741">
        <v>0.153704887285637</v>
      </c>
      <c r="U40" s="741">
        <v>0.19449645191700049</v>
      </c>
      <c r="V40" s="741">
        <v>0.18802061607317436</v>
      </c>
      <c r="W40" s="741">
        <v>0.19674712228072452</v>
      </c>
      <c r="X40" s="741">
        <v>0.20294135295843024</v>
      </c>
    </row>
    <row r="41" spans="1:24" x14ac:dyDescent="0.25">
      <c r="A41" s="712" t="s">
        <v>573</v>
      </c>
      <c r="B41" s="712" t="s">
        <v>173</v>
      </c>
      <c r="C41" s="712" t="s">
        <v>176</v>
      </c>
      <c r="D41" s="741">
        <v>5</v>
      </c>
      <c r="E41" s="741">
        <v>6.9787951086536437E-3</v>
      </c>
      <c r="F41" s="741">
        <v>1.2675743170565383E-2</v>
      </c>
      <c r="G41" s="741">
        <v>1.0197406679181675E-2</v>
      </c>
      <c r="H41" s="741">
        <v>1.3441529652924798E-2</v>
      </c>
      <c r="I41" s="741">
        <v>1.2293823421461613E-2</v>
      </c>
      <c r="J41" s="741">
        <v>8.3295456702962584E-3</v>
      </c>
      <c r="K41" s="741">
        <v>1.4870409599780011E-2</v>
      </c>
      <c r="L41" s="741">
        <v>1.2296810228219981E-2</v>
      </c>
      <c r="M41" s="741">
        <v>1.601377926894363E-2</v>
      </c>
      <c r="N41" s="741">
        <v>1.4658872576582821E-2</v>
      </c>
      <c r="O41" s="741">
        <v>0.11549177644216732</v>
      </c>
      <c r="P41" s="741">
        <v>0.1426673822812973</v>
      </c>
      <c r="Q41" s="741">
        <v>0.15468151941395855</v>
      </c>
      <c r="R41" s="741">
        <v>0.13940703808294186</v>
      </c>
      <c r="S41" s="741">
        <v>0.14634829272703667</v>
      </c>
      <c r="T41" s="741">
        <v>7.9156358998788617E-2</v>
      </c>
      <c r="U41" s="741">
        <v>9.7925248770243764E-2</v>
      </c>
      <c r="V41" s="741">
        <v>9.5204622082791235E-2</v>
      </c>
      <c r="W41" s="741">
        <v>9.9059893220130507E-2</v>
      </c>
      <c r="X41" s="741">
        <v>0.1025363324159687</v>
      </c>
    </row>
    <row r="42" spans="1:24" x14ac:dyDescent="0.25">
      <c r="A42" s="712" t="s">
        <v>573</v>
      </c>
      <c r="B42" s="712" t="s">
        <v>173</v>
      </c>
      <c r="C42" s="712" t="s">
        <v>176</v>
      </c>
      <c r="D42" s="741">
        <v>10</v>
      </c>
      <c r="E42" s="741">
        <v>4.142115182792748E-3</v>
      </c>
      <c r="F42" s="741">
        <v>7.6758254038939641E-3</v>
      </c>
      <c r="G42" s="741">
        <v>6.0424545066681051E-3</v>
      </c>
      <c r="H42" s="741">
        <v>8.1637399912671826E-3</v>
      </c>
      <c r="I42" s="741">
        <v>7.3934853115312548E-3</v>
      </c>
      <c r="J42" s="741">
        <v>4.9438244065823948E-3</v>
      </c>
      <c r="K42" s="741">
        <v>9.004810703119424E-3</v>
      </c>
      <c r="L42" s="741">
        <v>7.2864522048377255E-3</v>
      </c>
      <c r="M42" s="741">
        <v>9.7260009541216084E-3</v>
      </c>
      <c r="N42" s="741">
        <v>8.815822007771125E-3</v>
      </c>
      <c r="O42" s="741">
        <v>7.0209574178837594E-2</v>
      </c>
      <c r="P42" s="741">
        <v>8.1145566067562264E-2</v>
      </c>
      <c r="Q42" s="741">
        <v>9.545843904064652E-2</v>
      </c>
      <c r="R42" s="741">
        <v>7.9307614535374674E-2</v>
      </c>
      <c r="S42" s="741">
        <v>8.6130201211400456E-2</v>
      </c>
      <c r="T42" s="741">
        <v>4.6120541820443346E-2</v>
      </c>
      <c r="U42" s="741">
        <v>5.8208013550026624E-2</v>
      </c>
      <c r="V42" s="741">
        <v>5.5981882532917429E-2</v>
      </c>
      <c r="W42" s="741">
        <v>5.8901553965257869E-2</v>
      </c>
      <c r="X42" s="741">
        <v>6.066158993234344E-2</v>
      </c>
    </row>
    <row r="43" spans="1:24" x14ac:dyDescent="0.25">
      <c r="A43" s="712" t="s">
        <v>573</v>
      </c>
      <c r="B43" s="712" t="s">
        <v>173</v>
      </c>
      <c r="C43" s="712" t="s">
        <v>176</v>
      </c>
      <c r="D43" s="741">
        <v>15</v>
      </c>
      <c r="E43" s="741">
        <v>3.1375739793506013E-3</v>
      </c>
      <c r="F43" s="741">
        <v>6.0091896912812899E-3</v>
      </c>
      <c r="G43" s="741">
        <v>4.5617326830633721E-3</v>
      </c>
      <c r="H43" s="741">
        <v>6.4044701222501004E-3</v>
      </c>
      <c r="I43" s="741">
        <v>5.7164446527763991E-3</v>
      </c>
      <c r="J43" s="741">
        <v>3.7448535668467143E-3</v>
      </c>
      <c r="K43" s="741">
        <v>7.0496152272658142E-3</v>
      </c>
      <c r="L43" s="741">
        <v>5.5008849681378565E-3</v>
      </c>
      <c r="M43" s="741">
        <v>7.6300669284273849E-3</v>
      </c>
      <c r="N43" s="741">
        <v>6.8161572590876591E-3</v>
      </c>
      <c r="O43" s="741">
        <v>5.6431771907304661E-2</v>
      </c>
      <c r="P43" s="741">
        <v>6.1753549595369751E-2</v>
      </c>
      <c r="Q43" s="741">
        <v>7.6764875676838457E-2</v>
      </c>
      <c r="R43" s="741">
        <v>6.036614826836411E-2</v>
      </c>
      <c r="S43" s="741">
        <v>6.7196725220129663E-2</v>
      </c>
      <c r="T43" s="741">
        <v>3.9192669018127797E-2</v>
      </c>
      <c r="U43" s="741">
        <v>4.9974613216482923E-2</v>
      </c>
      <c r="V43" s="741">
        <v>4.7842072315561528E-2</v>
      </c>
      <c r="W43" s="741">
        <v>5.0589464320497546E-2</v>
      </c>
      <c r="X43" s="741">
        <v>5.1975639640433002E-2</v>
      </c>
    </row>
    <row r="44" spans="1:24" x14ac:dyDescent="0.25">
      <c r="A44" s="712" t="s">
        <v>573</v>
      </c>
      <c r="B44" s="712" t="s">
        <v>173</v>
      </c>
      <c r="C44" s="712" t="s">
        <v>176</v>
      </c>
      <c r="D44" s="741">
        <v>20</v>
      </c>
      <c r="E44" s="741">
        <v>2.4654470084794376E-3</v>
      </c>
      <c r="F44" s="741">
        <v>5.0174232635900031E-3</v>
      </c>
      <c r="G44" s="741">
        <v>3.5159911474992342E-3</v>
      </c>
      <c r="H44" s="741">
        <v>5.3536038937443001E-3</v>
      </c>
      <c r="I44" s="741">
        <v>4.6456785546799897E-3</v>
      </c>
      <c r="J44" s="741">
        <v>2.9426359615229627E-3</v>
      </c>
      <c r="K44" s="741">
        <v>5.8861352790978349E-3</v>
      </c>
      <c r="L44" s="741">
        <v>4.2398501173014965E-3</v>
      </c>
      <c r="M44" s="741">
        <v>6.3781008011334281E-3</v>
      </c>
      <c r="N44" s="741">
        <v>5.5394003663606335E-3</v>
      </c>
      <c r="O44" s="741">
        <v>5.0217714093650521E-2</v>
      </c>
      <c r="P44" s="741">
        <v>5.7434186219280009E-2</v>
      </c>
      <c r="Q44" s="741">
        <v>6.7905502574357568E-2</v>
      </c>
      <c r="R44" s="741">
        <v>5.6158269699316102E-2</v>
      </c>
      <c r="S44" s="741">
        <v>6.1139664336729592E-2</v>
      </c>
      <c r="T44" s="741">
        <v>3.4771811833858565E-2</v>
      </c>
      <c r="U44" s="741">
        <v>4.4011886755665509E-2</v>
      </c>
      <c r="V44" s="741">
        <v>4.2244417614493497E-2</v>
      </c>
      <c r="W44" s="741">
        <v>4.4562191833001343E-2</v>
      </c>
      <c r="X44" s="741">
        <v>4.5840701563574462E-2</v>
      </c>
    </row>
    <row r="45" spans="1:24" x14ac:dyDescent="0.25">
      <c r="A45" s="712" t="s">
        <v>573</v>
      </c>
      <c r="B45" s="712" t="s">
        <v>173</v>
      </c>
      <c r="C45" s="712" t="s">
        <v>176</v>
      </c>
      <c r="D45" s="741">
        <v>25</v>
      </c>
      <c r="E45" s="741">
        <v>2.1321118563627926E-3</v>
      </c>
      <c r="F45" s="741">
        <v>4.1033702946781277E-3</v>
      </c>
      <c r="G45" s="741">
        <v>2.9954621277969336E-3</v>
      </c>
      <c r="H45" s="741">
        <v>4.3783650569144614E-3</v>
      </c>
      <c r="I45" s="741">
        <v>3.8597754893819479E-3</v>
      </c>
      <c r="J45" s="741">
        <v>2.5447835629580765E-3</v>
      </c>
      <c r="K45" s="741">
        <v>4.813824025965344E-3</v>
      </c>
      <c r="L45" s="741">
        <v>3.6121565502078064E-3</v>
      </c>
      <c r="M45" s="741">
        <v>5.2162345648679624E-3</v>
      </c>
      <c r="N45" s="741">
        <v>4.6023076087374588E-3</v>
      </c>
      <c r="O45" s="741">
        <v>4.5596479905026285E-2</v>
      </c>
      <c r="P45" s="741">
        <v>5.3837756728300212E-2</v>
      </c>
      <c r="Q45" s="741">
        <v>6.0770048106387774E-2</v>
      </c>
      <c r="R45" s="741">
        <v>5.2649984950726744E-2</v>
      </c>
      <c r="S45" s="741">
        <v>5.6232503454048018E-2</v>
      </c>
      <c r="T45" s="741">
        <v>3.208292724933718E-2</v>
      </c>
      <c r="U45" s="741">
        <v>4.0199835030782435E-2</v>
      </c>
      <c r="V45" s="741">
        <v>3.8728809211251568E-2</v>
      </c>
      <c r="W45" s="741">
        <v>4.0708185019103477E-2</v>
      </c>
      <c r="X45" s="741">
        <v>4.1953065638604695E-2</v>
      </c>
    </row>
    <row r="46" spans="1:24" x14ac:dyDescent="0.25">
      <c r="A46" s="712" t="s">
        <v>573</v>
      </c>
      <c r="B46" s="712" t="s">
        <v>173</v>
      </c>
      <c r="C46" s="712" t="s">
        <v>176</v>
      </c>
      <c r="D46" s="741">
        <v>30</v>
      </c>
      <c r="E46" s="741">
        <v>2.1062272352268562E-3</v>
      </c>
      <c r="F46" s="741">
        <v>3.4280902611407817E-3</v>
      </c>
      <c r="G46" s="741">
        <v>2.7679904832345484E-3</v>
      </c>
      <c r="H46" s="741">
        <v>3.6588513737077226E-3</v>
      </c>
      <c r="I46" s="741">
        <v>3.3680911772086784E-3</v>
      </c>
      <c r="J46" s="741">
        <v>2.5138889557152376E-3</v>
      </c>
      <c r="K46" s="741">
        <v>4.0216266330289248E-3</v>
      </c>
      <c r="L46" s="741">
        <v>3.3378539031244767E-3</v>
      </c>
      <c r="M46" s="741">
        <v>4.3590305411168265E-3</v>
      </c>
      <c r="N46" s="741">
        <v>4.0160345321720069E-3</v>
      </c>
      <c r="O46" s="741">
        <v>4.4892949793333872E-2</v>
      </c>
      <c r="P46" s="741">
        <v>5.3107445711496837E-2</v>
      </c>
      <c r="Q46" s="741">
        <v>5.9147995838913572E-2</v>
      </c>
      <c r="R46" s="741">
        <v>5.1943179034988372E-2</v>
      </c>
      <c r="S46" s="741">
        <v>5.5209366029734558E-2</v>
      </c>
      <c r="T46" s="741">
        <v>3.0790731452769834E-2</v>
      </c>
      <c r="U46" s="741">
        <v>3.8143623845405192E-2</v>
      </c>
      <c r="V46" s="741">
        <v>3.69039416555932E-2</v>
      </c>
      <c r="W46" s="741">
        <v>3.863080314949794E-2</v>
      </c>
      <c r="X46" s="741">
        <v>3.989645524285422E-2</v>
      </c>
    </row>
    <row r="47" spans="1:24" x14ac:dyDescent="0.25">
      <c r="A47" s="712" t="s">
        <v>573</v>
      </c>
      <c r="B47" s="712" t="s">
        <v>173</v>
      </c>
      <c r="C47" s="712" t="s">
        <v>176</v>
      </c>
      <c r="D47" s="741">
        <v>35</v>
      </c>
      <c r="E47" s="741">
        <v>2.5266399593434304E-3</v>
      </c>
      <c r="F47" s="741">
        <v>3.0253696564337858E-3</v>
      </c>
      <c r="G47" s="741">
        <v>2.8437549331986538E-3</v>
      </c>
      <c r="H47" s="741">
        <v>3.1920677017127997E-3</v>
      </c>
      <c r="I47" s="741">
        <v>3.198208190960998E-3</v>
      </c>
      <c r="J47" s="741">
        <v>3.0156728498376495E-3</v>
      </c>
      <c r="K47" s="741">
        <v>3.5491793559201215E-3</v>
      </c>
      <c r="L47" s="741">
        <v>3.4292164517179427E-3</v>
      </c>
      <c r="M47" s="741">
        <v>3.8029204195245891E-3</v>
      </c>
      <c r="N47" s="741">
        <v>3.8134699627161966E-3</v>
      </c>
      <c r="O47" s="741">
        <v>3.8261496300015643E-2</v>
      </c>
      <c r="P47" s="741">
        <v>4.4194994002041084E-2</v>
      </c>
      <c r="Q47" s="741">
        <v>4.7894231722219217E-2</v>
      </c>
      <c r="R47" s="741">
        <v>4.322512981779468E-2</v>
      </c>
      <c r="S47" s="741">
        <v>4.5621032814006458E-2</v>
      </c>
      <c r="T47" s="741">
        <v>2.5332952091183733E-2</v>
      </c>
      <c r="U47" s="741">
        <v>2.9458249149776395E-2</v>
      </c>
      <c r="V47" s="741">
        <v>2.9211129997651089E-2</v>
      </c>
      <c r="W47" s="741">
        <v>2.9831955825424254E-2</v>
      </c>
      <c r="X47" s="741">
        <v>3.1203653300726462E-2</v>
      </c>
    </row>
    <row r="48" spans="1:24" x14ac:dyDescent="0.25">
      <c r="A48" s="712" t="s">
        <v>573</v>
      </c>
      <c r="B48" s="712" t="s">
        <v>173</v>
      </c>
      <c r="C48" s="712" t="s">
        <v>176</v>
      </c>
      <c r="D48" s="741">
        <v>40</v>
      </c>
      <c r="E48" s="741">
        <v>2.8503252671719342E-3</v>
      </c>
      <c r="F48" s="741">
        <v>2.7423049683045933E-3</v>
      </c>
      <c r="G48" s="741">
        <v>2.9047976845893901E-3</v>
      </c>
      <c r="H48" s="741">
        <v>2.8536976465363142E-3</v>
      </c>
      <c r="I48" s="741">
        <v>3.0814802225093674E-3</v>
      </c>
      <c r="J48" s="741">
        <v>3.4020076701590293E-3</v>
      </c>
      <c r="K48" s="741">
        <v>3.2171051099311719E-3</v>
      </c>
      <c r="L48" s="741">
        <v>3.5028264540720448E-3</v>
      </c>
      <c r="M48" s="741">
        <v>3.3997978944303214E-3</v>
      </c>
      <c r="N48" s="741">
        <v>3.6742862151549036E-3</v>
      </c>
      <c r="O48" s="741">
        <v>3.7483380180187313E-2</v>
      </c>
      <c r="P48" s="741">
        <v>4.0581489826896022E-2</v>
      </c>
      <c r="Q48" s="741">
        <v>4.4637256297193832E-2</v>
      </c>
      <c r="R48" s="741">
        <v>3.9692383049148801E-2</v>
      </c>
      <c r="S48" s="741">
        <v>4.2362245716676093E-2</v>
      </c>
      <c r="T48" s="741">
        <v>2.4361070726324624E-2</v>
      </c>
      <c r="U48" s="741">
        <v>2.7151092668466017E-2</v>
      </c>
      <c r="V48" s="741">
        <v>2.7384128147532282E-2</v>
      </c>
      <c r="W48" s="741">
        <v>2.7497099148726334E-2</v>
      </c>
      <c r="X48" s="741">
        <v>2.9015818754257232E-2</v>
      </c>
    </row>
    <row r="49" spans="1:24" x14ac:dyDescent="0.25">
      <c r="A49" s="712" t="s">
        <v>573</v>
      </c>
      <c r="B49" s="712" t="s">
        <v>173</v>
      </c>
      <c r="C49" s="712" t="s">
        <v>176</v>
      </c>
      <c r="D49" s="741">
        <v>45</v>
      </c>
      <c r="E49" s="741">
        <v>3.0319544032980372E-3</v>
      </c>
      <c r="F49" s="741">
        <v>2.5221385758114698E-3</v>
      </c>
      <c r="G49" s="741">
        <v>2.9135482606750043E-3</v>
      </c>
      <c r="H49" s="741">
        <v>2.5948007297941123E-3</v>
      </c>
      <c r="I49" s="741">
        <v>2.9683910072953439E-3</v>
      </c>
      <c r="J49" s="741">
        <v>3.6187912496830738E-3</v>
      </c>
      <c r="K49" s="741">
        <v>2.9588193122131157E-3</v>
      </c>
      <c r="L49" s="741">
        <v>3.5133785656919604E-3</v>
      </c>
      <c r="M49" s="741">
        <v>3.0913569516825908E-3</v>
      </c>
      <c r="N49" s="741">
        <v>3.539441233347687E-3</v>
      </c>
      <c r="O49" s="741">
        <v>3.6350343623603072E-2</v>
      </c>
      <c r="P49" s="741">
        <v>3.7695234690369797E-2</v>
      </c>
      <c r="Q49" s="741">
        <v>4.1755049336907629E-2</v>
      </c>
      <c r="R49" s="741">
        <v>3.6870568425970363E-2</v>
      </c>
      <c r="S49" s="741">
        <v>3.961311562696114E-2</v>
      </c>
      <c r="T49" s="741">
        <v>2.354237071886189E-2</v>
      </c>
      <c r="U49" s="741">
        <v>2.5358051351575522E-2</v>
      </c>
      <c r="V49" s="741">
        <v>2.5935404526760967E-2</v>
      </c>
      <c r="W49" s="741">
        <v>2.5682550279894387E-2</v>
      </c>
      <c r="X49" s="741">
        <v>2.7299535493602672E-2</v>
      </c>
    </row>
    <row r="50" spans="1:24" x14ac:dyDescent="0.25">
      <c r="A50" s="712" t="s">
        <v>573</v>
      </c>
      <c r="B50" s="712" t="s">
        <v>173</v>
      </c>
      <c r="C50" s="712" t="s">
        <v>176</v>
      </c>
      <c r="D50" s="741">
        <v>50</v>
      </c>
      <c r="E50" s="741">
        <v>2.9684296764965106E-3</v>
      </c>
      <c r="F50" s="741">
        <v>2.3512037004537458E-3</v>
      </c>
      <c r="G50" s="741">
        <v>2.777595442269928E-3</v>
      </c>
      <c r="H50" s="741">
        <v>2.3949391192004867E-3</v>
      </c>
      <c r="I50" s="741">
        <v>2.7999991359111856E-3</v>
      </c>
      <c r="J50" s="741">
        <v>3.5429712686049228E-3</v>
      </c>
      <c r="K50" s="741">
        <v>2.7582889308971517E-3</v>
      </c>
      <c r="L50" s="741">
        <v>3.3494362948269692E-3</v>
      </c>
      <c r="M50" s="741">
        <v>2.8532486560478403E-3</v>
      </c>
      <c r="N50" s="741">
        <v>3.338654634994281E-3</v>
      </c>
      <c r="O50" s="741">
        <v>3.4674265609622286E-2</v>
      </c>
      <c r="P50" s="741">
        <v>3.4853951637905625E-2</v>
      </c>
      <c r="Q50" s="741">
        <v>3.8423826716041276E-2</v>
      </c>
      <c r="R50" s="741">
        <v>3.4093411713971275E-2</v>
      </c>
      <c r="S50" s="741">
        <v>3.6687577359077517E-2</v>
      </c>
      <c r="T50" s="741">
        <v>2.1703629146956609E-2</v>
      </c>
      <c r="U50" s="741">
        <v>2.2357386380246189E-2</v>
      </c>
      <c r="V50" s="741">
        <v>2.3298690791393701E-2</v>
      </c>
      <c r="W50" s="741">
        <v>2.2643343380238431E-2</v>
      </c>
      <c r="X50" s="741">
        <v>2.4308322728135174E-2</v>
      </c>
    </row>
    <row r="51" spans="1:24" x14ac:dyDescent="0.25">
      <c r="A51" s="712" t="s">
        <v>573</v>
      </c>
      <c r="B51" s="712" t="s">
        <v>173</v>
      </c>
      <c r="C51" s="712" t="s">
        <v>176</v>
      </c>
      <c r="D51" s="741">
        <v>55</v>
      </c>
      <c r="E51" s="741">
        <v>2.6519329000021562E-3</v>
      </c>
      <c r="F51" s="741">
        <v>2.232067802731386E-3</v>
      </c>
      <c r="G51" s="741">
        <v>2.5129415645765421E-3</v>
      </c>
      <c r="H51" s="741">
        <v>2.2799533361339908E-3</v>
      </c>
      <c r="I51" s="741">
        <v>2.5918804587722541E-3</v>
      </c>
      <c r="J51" s="741">
        <v>3.165216324769086E-3</v>
      </c>
      <c r="K51" s="741">
        <v>2.6185259542156072E-3</v>
      </c>
      <c r="L51" s="741">
        <v>3.0302964769748407E-3</v>
      </c>
      <c r="M51" s="741">
        <v>2.716258521990231E-3</v>
      </c>
      <c r="N51" s="741">
        <v>3.0904987062487337E-3</v>
      </c>
      <c r="O51" s="741">
        <v>3.2969177749987359E-2</v>
      </c>
      <c r="P51" s="741">
        <v>3.2529246155163304E-2</v>
      </c>
      <c r="Q51" s="741">
        <v>3.5526778481419767E-2</v>
      </c>
      <c r="R51" s="741">
        <v>3.1821197362775486E-2</v>
      </c>
      <c r="S51" s="741">
        <v>3.4202295129441999E-2</v>
      </c>
      <c r="T51" s="741">
        <v>1.9467850175047607E-2</v>
      </c>
      <c r="U51" s="741">
        <v>1.9065250175727872E-2</v>
      </c>
      <c r="V51" s="741">
        <v>2.030673564230389E-2</v>
      </c>
      <c r="W51" s="741">
        <v>1.9308257762634659E-2</v>
      </c>
      <c r="X51" s="741">
        <v>2.0971265354369991E-2</v>
      </c>
    </row>
    <row r="52" spans="1:24" x14ac:dyDescent="0.25">
      <c r="A52" s="712" t="s">
        <v>573</v>
      </c>
      <c r="B52" s="712" t="s">
        <v>173</v>
      </c>
      <c r="C52" s="712" t="s">
        <v>176</v>
      </c>
      <c r="D52" s="741">
        <v>60</v>
      </c>
      <c r="E52" s="741">
        <v>2.4094768185674246E-3</v>
      </c>
      <c r="F52" s="741">
        <v>2.1327934084938629E-3</v>
      </c>
      <c r="G52" s="741">
        <v>2.325940504411198E-3</v>
      </c>
      <c r="H52" s="741">
        <v>2.2419759154593123E-3</v>
      </c>
      <c r="I52" s="741">
        <v>2.4568068322961645E-3</v>
      </c>
      <c r="J52" s="741">
        <v>2.8758327031110373E-3</v>
      </c>
      <c r="K52" s="741">
        <v>2.5020632833317375E-3</v>
      </c>
      <c r="L52" s="741">
        <v>2.804796345257655E-3</v>
      </c>
      <c r="M52" s="741">
        <v>2.6710135202983446E-3</v>
      </c>
      <c r="N52" s="741">
        <v>2.9294400175812712E-3</v>
      </c>
      <c r="O52" s="741">
        <v>3.1335072540944246E-2</v>
      </c>
      <c r="P52" s="741">
        <v>2.9854171761360852E-2</v>
      </c>
      <c r="Q52" s="741">
        <v>3.3112777231362772E-2</v>
      </c>
      <c r="R52" s="741">
        <v>2.9204657585901145E-2</v>
      </c>
      <c r="S52" s="741">
        <v>3.1670963013108178E-2</v>
      </c>
      <c r="T52" s="741">
        <v>1.8150127742343359E-2</v>
      </c>
      <c r="U52" s="741">
        <v>1.74131836168336E-2</v>
      </c>
      <c r="V52" s="741">
        <v>1.8715446501633301E-2</v>
      </c>
      <c r="W52" s="741">
        <v>1.7635202634140153E-2</v>
      </c>
      <c r="X52" s="741">
        <v>1.9247288786186516E-2</v>
      </c>
    </row>
    <row r="53" spans="1:24" x14ac:dyDescent="0.25">
      <c r="A53" s="712" t="s">
        <v>573</v>
      </c>
      <c r="B53" s="712" t="s">
        <v>173</v>
      </c>
      <c r="C53" s="712" t="s">
        <v>176</v>
      </c>
      <c r="D53" s="741">
        <v>65</v>
      </c>
      <c r="E53" s="741">
        <v>2.2143392354024047E-3</v>
      </c>
      <c r="F53" s="741">
        <v>2.0942698474681024E-3</v>
      </c>
      <c r="G53" s="741">
        <v>2.2410848682809718E-3</v>
      </c>
      <c r="H53" s="741">
        <v>2.2446601414840427E-3</v>
      </c>
      <c r="I53" s="741">
        <v>2.3928561831671586E-3</v>
      </c>
      <c r="J53" s="741">
        <v>2.6429261073938511E-3</v>
      </c>
      <c r="K53" s="741">
        <v>2.4568697886398106E-3</v>
      </c>
      <c r="L53" s="741">
        <v>2.7024709514476262E-3</v>
      </c>
      <c r="M53" s="741">
        <v>2.6742114154916677E-3</v>
      </c>
      <c r="N53" s="741">
        <v>2.8531867329330361E-3</v>
      </c>
      <c r="O53" s="741">
        <v>3.1429608823411691E-2</v>
      </c>
      <c r="P53" s="741">
        <v>3.0552871423779136E-2</v>
      </c>
      <c r="Q53" s="741">
        <v>3.3557876734843756E-2</v>
      </c>
      <c r="R53" s="741">
        <v>2.9889832717630377E-2</v>
      </c>
      <c r="S53" s="741">
        <v>3.2236948717416905E-2</v>
      </c>
      <c r="T53" s="741">
        <v>1.8136272054328866E-2</v>
      </c>
      <c r="U53" s="741">
        <v>1.7796035170845569E-2</v>
      </c>
      <c r="V53" s="741">
        <v>1.8937473768252742E-2</v>
      </c>
      <c r="W53" s="741">
        <v>1.8024484539724994E-2</v>
      </c>
      <c r="X53" s="741">
        <v>1.9566524839270964E-2</v>
      </c>
    </row>
    <row r="54" spans="1:24" x14ac:dyDescent="0.25">
      <c r="A54" s="712" t="s">
        <v>573</v>
      </c>
      <c r="B54" s="712" t="s">
        <v>173</v>
      </c>
      <c r="C54" s="712" t="s">
        <v>176</v>
      </c>
      <c r="D54" s="741">
        <v>70</v>
      </c>
      <c r="E54" s="741">
        <v>2.0843812254517664E-3</v>
      </c>
      <c r="F54" s="741">
        <v>2.1765924262047184E-3</v>
      </c>
      <c r="G54" s="741">
        <v>2.2295007411936301E-3</v>
      </c>
      <c r="H54" s="741">
        <v>2.3352659577994283E-3</v>
      </c>
      <c r="I54" s="741">
        <v>2.4210575573293102E-3</v>
      </c>
      <c r="J54" s="741">
        <v>2.4878146358215769E-3</v>
      </c>
      <c r="K54" s="741">
        <v>2.5534456223918144E-3</v>
      </c>
      <c r="L54" s="741">
        <v>2.6885019280543125E-3</v>
      </c>
      <c r="M54" s="741">
        <v>2.7821560899760423E-3</v>
      </c>
      <c r="N54" s="741">
        <v>2.8868134035102164E-3</v>
      </c>
      <c r="O54" s="741">
        <v>3.1122122977832515E-2</v>
      </c>
      <c r="P54" s="741">
        <v>3.1395761428603577E-2</v>
      </c>
      <c r="Q54" s="741">
        <v>3.3878605826783849E-2</v>
      </c>
      <c r="R54" s="741">
        <v>3.0715910655739566E-2</v>
      </c>
      <c r="S54" s="741">
        <v>3.2803879200555171E-2</v>
      </c>
      <c r="T54" s="741">
        <v>1.802540148351333E-2</v>
      </c>
      <c r="U54" s="741">
        <v>1.8134537945927055E-2</v>
      </c>
      <c r="V54" s="741">
        <v>1.9088836236136976E-2</v>
      </c>
      <c r="W54" s="741">
        <v>1.8368631565713927E-2</v>
      </c>
      <c r="X54" s="741">
        <v>1.9823870816690754E-2</v>
      </c>
    </row>
    <row r="55" spans="1:24" x14ac:dyDescent="0.25">
      <c r="A55" s="712" t="s">
        <v>573</v>
      </c>
      <c r="B55" s="712" t="s">
        <v>173</v>
      </c>
      <c r="C55" s="712" t="s">
        <v>176</v>
      </c>
      <c r="D55" s="741">
        <v>75</v>
      </c>
      <c r="E55" s="741">
        <v>2.0537556784155898E-3</v>
      </c>
      <c r="F55" s="741">
        <v>2.4199791233327213E-3</v>
      </c>
      <c r="G55" s="741">
        <v>2.3498043747920013E-3</v>
      </c>
      <c r="H55" s="741">
        <v>2.5996532297582944E-3</v>
      </c>
      <c r="I55" s="741">
        <v>2.6089821837496983E-3</v>
      </c>
      <c r="J55" s="741">
        <v>2.4512614932312004E-3</v>
      </c>
      <c r="K55" s="741">
        <v>2.8389720667769736E-3</v>
      </c>
      <c r="L55" s="741">
        <v>2.8335732190860434E-3</v>
      </c>
      <c r="M55" s="741">
        <v>3.0971380543796385E-3</v>
      </c>
      <c r="N55" s="741">
        <v>3.1108904101710849E-3</v>
      </c>
      <c r="O55" s="741">
        <v>3.0421736818119167E-2</v>
      </c>
      <c r="P55" s="741">
        <v>3.0883856044004402E-2</v>
      </c>
      <c r="Q55" s="741">
        <v>3.3226410481938577E-2</v>
      </c>
      <c r="R55" s="741">
        <v>3.0215821868023275E-2</v>
      </c>
      <c r="S55" s="741">
        <v>3.2216128635192937E-2</v>
      </c>
      <c r="T55" s="741">
        <v>1.7359351415261137E-2</v>
      </c>
      <c r="U55" s="741">
        <v>1.7468090477016765E-2</v>
      </c>
      <c r="V55" s="741">
        <v>1.8385348853343478E-2</v>
      </c>
      <c r="W55" s="741">
        <v>1.7693984919411935E-2</v>
      </c>
      <c r="X55" s="741">
        <v>1.9094503983093179E-2</v>
      </c>
    </row>
    <row r="56" spans="1:24" x14ac:dyDescent="0.25">
      <c r="A56" s="713" t="s">
        <v>573</v>
      </c>
      <c r="B56" s="713" t="s">
        <v>177</v>
      </c>
      <c r="C56" s="714" t="s">
        <v>175</v>
      </c>
      <c r="D56" s="745" t="s">
        <v>574</v>
      </c>
      <c r="E56" s="745">
        <v>0.15941097462078807</v>
      </c>
      <c r="F56" s="745">
        <v>0.11414999649017704</v>
      </c>
      <c r="G56" s="745">
        <v>0.13236377931377152</v>
      </c>
      <c r="H56" s="745">
        <v>0.10806115128052043</v>
      </c>
      <c r="I56" s="745">
        <v>0.12081631645733369</v>
      </c>
      <c r="J56" s="745">
        <v>0.21241851430918288</v>
      </c>
      <c r="K56" s="745">
        <v>0.14293597849162351</v>
      </c>
      <c r="L56" s="745">
        <v>0.17202658059571596</v>
      </c>
      <c r="M56" s="745">
        <v>0.13390375858878312</v>
      </c>
      <c r="N56" s="745">
        <v>0.15365682408510686</v>
      </c>
      <c r="O56" s="745">
        <v>2.8863413930818784</v>
      </c>
      <c r="P56" s="745">
        <v>2.581966416404335</v>
      </c>
      <c r="Q56" s="745">
        <v>2.7579711999869967</v>
      </c>
      <c r="R56" s="745">
        <v>2.774233351728483</v>
      </c>
      <c r="S56" s="745">
        <v>2.7460047493694777</v>
      </c>
      <c r="T56" s="745">
        <v>1.9296591508360872</v>
      </c>
      <c r="U56" s="745">
        <v>2.0107077697098039</v>
      </c>
      <c r="V56" s="745">
        <v>1.8765868617729884</v>
      </c>
      <c r="W56" s="745">
        <v>2.3153208971765431</v>
      </c>
      <c r="X56" s="745">
        <v>2.0968296112882712</v>
      </c>
    </row>
    <row r="57" spans="1:24" x14ac:dyDescent="0.25">
      <c r="A57" s="713" t="s">
        <v>573</v>
      </c>
      <c r="B57" s="713" t="s">
        <v>177</v>
      </c>
      <c r="C57" s="714" t="s">
        <v>175</v>
      </c>
      <c r="D57" s="741">
        <v>2.5</v>
      </c>
      <c r="E57" s="741">
        <v>0.72601677025194011</v>
      </c>
      <c r="F57" s="741">
        <v>0.51883632130306723</v>
      </c>
      <c r="G57" s="741">
        <v>0.60219159739700978</v>
      </c>
      <c r="H57" s="741">
        <v>0.46454767801884433</v>
      </c>
      <c r="I57" s="741">
        <v>0.57417495137934016</v>
      </c>
      <c r="J57" s="741">
        <v>0.96738619791070213</v>
      </c>
      <c r="K57" s="741">
        <v>0.64967563692954389</v>
      </c>
      <c r="L57" s="741">
        <v>0.78266054350884995</v>
      </c>
      <c r="M57" s="741">
        <v>0.57572716349614039</v>
      </c>
      <c r="N57" s="741">
        <v>0.73025587998625541</v>
      </c>
      <c r="O57" s="741">
        <v>19.20962863320921</v>
      </c>
      <c r="P57" s="741">
        <v>16.763599212815286</v>
      </c>
      <c r="Q57" s="741">
        <v>18.490087942782914</v>
      </c>
      <c r="R57" s="741">
        <v>15.355420265658697</v>
      </c>
      <c r="S57" s="741">
        <v>17.392207888915568</v>
      </c>
      <c r="T57" s="741">
        <v>12.807186752318611</v>
      </c>
      <c r="U57" s="741">
        <v>12.158345593710903</v>
      </c>
      <c r="V57" s="741">
        <v>11.790739390226415</v>
      </c>
      <c r="W57" s="741">
        <v>11.646337284209</v>
      </c>
      <c r="X57" s="741">
        <v>12.404502648205407</v>
      </c>
    </row>
    <row r="58" spans="1:24" x14ac:dyDescent="0.25">
      <c r="A58" s="713" t="s">
        <v>573</v>
      </c>
      <c r="B58" s="713" t="s">
        <v>177</v>
      </c>
      <c r="C58" s="714" t="s">
        <v>175</v>
      </c>
      <c r="D58" s="741">
        <v>5</v>
      </c>
      <c r="E58" s="741">
        <v>0.49313188981612605</v>
      </c>
      <c r="F58" s="741">
        <v>0.34346528140143667</v>
      </c>
      <c r="G58" s="741">
        <v>0.38996155050335601</v>
      </c>
      <c r="H58" s="741">
        <v>0.30740394632084206</v>
      </c>
      <c r="I58" s="741">
        <v>0.37802213998708001</v>
      </c>
      <c r="J58" s="741">
        <v>0.65707708623892713</v>
      </c>
      <c r="K58" s="741">
        <v>0.4300798080158314</v>
      </c>
      <c r="L58" s="741">
        <v>0.506827927164342</v>
      </c>
      <c r="M58" s="741">
        <v>0.38097446276685298</v>
      </c>
      <c r="N58" s="741">
        <v>0.4807818415404414</v>
      </c>
      <c r="O58" s="741">
        <v>9.778792723057629</v>
      </c>
      <c r="P58" s="741">
        <v>8.4629534886609203</v>
      </c>
      <c r="Q58" s="741">
        <v>9.6321036414643277</v>
      </c>
      <c r="R58" s="741">
        <v>7.7520510033629302</v>
      </c>
      <c r="S58" s="741">
        <v>8.883549648175336</v>
      </c>
      <c r="T58" s="741">
        <v>6.4318711691542898</v>
      </c>
      <c r="U58" s="741">
        <v>6.1273260153538986</v>
      </c>
      <c r="V58" s="741">
        <v>6.0369018464633806</v>
      </c>
      <c r="W58" s="741">
        <v>5.8692899691405165</v>
      </c>
      <c r="X58" s="741">
        <v>6.281713611456258</v>
      </c>
    </row>
    <row r="59" spans="1:24" x14ac:dyDescent="0.25">
      <c r="A59" s="713" t="s">
        <v>573</v>
      </c>
      <c r="B59" s="713" t="s">
        <v>177</v>
      </c>
      <c r="C59" s="714" t="s">
        <v>175</v>
      </c>
      <c r="D59" s="741">
        <v>10</v>
      </c>
      <c r="E59" s="741">
        <v>0.33944793315430516</v>
      </c>
      <c r="F59" s="741">
        <v>0.24103707096789956</v>
      </c>
      <c r="G59" s="741">
        <v>0.26059510374575118</v>
      </c>
      <c r="H59" s="741">
        <v>0.21552982818893174</v>
      </c>
      <c r="I59" s="741">
        <v>0.26087843627032159</v>
      </c>
      <c r="J59" s="741">
        <v>0.45229980752212784</v>
      </c>
      <c r="K59" s="741">
        <v>0.30182141491445363</v>
      </c>
      <c r="L59" s="741">
        <v>0.33869204820360632</v>
      </c>
      <c r="M59" s="741">
        <v>0.26711225241984871</v>
      </c>
      <c r="N59" s="741">
        <v>0.33179436265961215</v>
      </c>
      <c r="O59" s="741">
        <v>5.9299401096479363</v>
      </c>
      <c r="P59" s="741">
        <v>4.7386785664515827</v>
      </c>
      <c r="Q59" s="741">
        <v>5.7203574867301183</v>
      </c>
      <c r="R59" s="741">
        <v>4.3406285537012135</v>
      </c>
      <c r="S59" s="741">
        <v>5.111039701743584</v>
      </c>
      <c r="T59" s="741">
        <v>3.8685654068899589</v>
      </c>
      <c r="U59" s="741">
        <v>3.7015097748326053</v>
      </c>
      <c r="V59" s="741">
        <v>3.5614828867581583</v>
      </c>
      <c r="W59" s="741">
        <v>3.5456293097722074</v>
      </c>
      <c r="X59" s="741">
        <v>3.7651292489692043</v>
      </c>
    </row>
    <row r="60" spans="1:24" x14ac:dyDescent="0.25">
      <c r="A60" s="713" t="s">
        <v>573</v>
      </c>
      <c r="B60" s="713" t="s">
        <v>177</v>
      </c>
      <c r="C60" s="714" t="s">
        <v>175</v>
      </c>
      <c r="D60" s="741">
        <v>15</v>
      </c>
      <c r="E60" s="741">
        <v>0.21424964501450533</v>
      </c>
      <c r="F60" s="741">
        <v>0.19379043606880872</v>
      </c>
      <c r="G60" s="741">
        <v>0.16979329326081807</v>
      </c>
      <c r="H60" s="741">
        <v>0.17308131366227258</v>
      </c>
      <c r="I60" s="741">
        <v>0.1946328972197113</v>
      </c>
      <c r="J60" s="741">
        <v>0.28547845998430094</v>
      </c>
      <c r="K60" s="741">
        <v>0.2426601990154714</v>
      </c>
      <c r="L60" s="741">
        <v>0.22067812264749692</v>
      </c>
      <c r="M60" s="741">
        <v>0.21450459981617592</v>
      </c>
      <c r="N60" s="741">
        <v>0.24754095819055061</v>
      </c>
      <c r="O60" s="741">
        <v>4.8148416014264406</v>
      </c>
      <c r="P60" s="741">
        <v>3.5780905984976688</v>
      </c>
      <c r="Q60" s="741">
        <v>4.5908592159429542</v>
      </c>
      <c r="R60" s="741">
        <v>3.2775238837433021</v>
      </c>
      <c r="S60" s="741">
        <v>3.9703088351391504</v>
      </c>
      <c r="T60" s="741">
        <v>3.266064310339305</v>
      </c>
      <c r="U60" s="741">
        <v>3.127758348668118</v>
      </c>
      <c r="V60" s="741">
        <v>2.9759024644331391</v>
      </c>
      <c r="W60" s="741">
        <v>2.9960398348952229</v>
      </c>
      <c r="X60" s="741">
        <v>3.170113256751784</v>
      </c>
    </row>
    <row r="61" spans="1:24" x14ac:dyDescent="0.25">
      <c r="A61" s="713" t="s">
        <v>573</v>
      </c>
      <c r="B61" s="713" t="s">
        <v>177</v>
      </c>
      <c r="C61" s="714" t="s">
        <v>175</v>
      </c>
      <c r="D61" s="741">
        <v>20</v>
      </c>
      <c r="E61" s="741">
        <v>0.1591493797371607</v>
      </c>
      <c r="F61" s="741">
        <v>0.16170314674890698</v>
      </c>
      <c r="G61" s="741">
        <v>0.13208279721218158</v>
      </c>
      <c r="H61" s="741">
        <v>0.14423417371400388</v>
      </c>
      <c r="I61" s="741">
        <v>0.15840633276902669</v>
      </c>
      <c r="J61" s="741">
        <v>0.21205972048049529</v>
      </c>
      <c r="K61" s="741">
        <v>0.20248118827487069</v>
      </c>
      <c r="L61" s="741">
        <v>0.1716662841213675</v>
      </c>
      <c r="M61" s="741">
        <v>0.1787535179719584</v>
      </c>
      <c r="N61" s="741">
        <v>0.20146674050087007</v>
      </c>
      <c r="O61" s="741">
        <v>4.2022414987160728</v>
      </c>
      <c r="P61" s="741">
        <v>3.2853845170809381</v>
      </c>
      <c r="Q61" s="741">
        <v>4.0093284199186145</v>
      </c>
      <c r="R61" s="741">
        <v>3.0094056929840822</v>
      </c>
      <c r="S61" s="741">
        <v>3.5636425135961805</v>
      </c>
      <c r="T61" s="741">
        <v>2.8750557652817545</v>
      </c>
      <c r="U61" s="741">
        <v>2.7529410193873112</v>
      </c>
      <c r="V61" s="741">
        <v>2.6314062040508128</v>
      </c>
      <c r="W61" s="741">
        <v>2.6370064516305676</v>
      </c>
      <c r="X61" s="741">
        <v>2.7943018063970908</v>
      </c>
    </row>
    <row r="62" spans="1:24" x14ac:dyDescent="0.25">
      <c r="A62" s="713" t="s">
        <v>573</v>
      </c>
      <c r="B62" s="713" t="s">
        <v>177</v>
      </c>
      <c r="C62" s="714" t="s">
        <v>175</v>
      </c>
      <c r="D62" s="741">
        <v>25</v>
      </c>
      <c r="E62" s="741">
        <v>0.14833562156705687</v>
      </c>
      <c r="F62" s="741">
        <v>0.13983633709732618</v>
      </c>
      <c r="G62" s="741">
        <v>0.12533624248631758</v>
      </c>
      <c r="H62" s="741">
        <v>0.12459548384612029</v>
      </c>
      <c r="I62" s="741">
        <v>0.1408237827963317</v>
      </c>
      <c r="J62" s="741">
        <v>0.19765085166377039</v>
      </c>
      <c r="K62" s="741">
        <v>0.17510004145706812</v>
      </c>
      <c r="L62" s="741">
        <v>0.16289787517746826</v>
      </c>
      <c r="M62" s="741">
        <v>0.15441473048595492</v>
      </c>
      <c r="N62" s="741">
        <v>0.17910463558516843</v>
      </c>
      <c r="O62" s="741">
        <v>3.763955913067722</v>
      </c>
      <c r="P62" s="741">
        <v>3.0907697903656608</v>
      </c>
      <c r="Q62" s="741">
        <v>3.623036998567621</v>
      </c>
      <c r="R62" s="741">
        <v>2.8311376982094343</v>
      </c>
      <c r="S62" s="741">
        <v>3.2913936458023536</v>
      </c>
      <c r="T62" s="741">
        <v>2.6053460400148363</v>
      </c>
      <c r="U62" s="741">
        <v>2.4940367316659979</v>
      </c>
      <c r="V62" s="741">
        <v>2.4049982176276674</v>
      </c>
      <c r="W62" s="741">
        <v>2.389007166009379</v>
      </c>
      <c r="X62" s="741">
        <v>2.5386022620011359</v>
      </c>
    </row>
    <row r="63" spans="1:24" x14ac:dyDescent="0.25">
      <c r="A63" s="713" t="s">
        <v>573</v>
      </c>
      <c r="B63" s="713" t="s">
        <v>177</v>
      </c>
      <c r="C63" s="714" t="s">
        <v>175</v>
      </c>
      <c r="D63" s="741">
        <v>30</v>
      </c>
      <c r="E63" s="741">
        <v>0.14236037572080301</v>
      </c>
      <c r="F63" s="741">
        <v>0.11729471478973626</v>
      </c>
      <c r="G63" s="741">
        <v>0.12321916904165801</v>
      </c>
      <c r="H63" s="741">
        <v>0.10440320350989618</v>
      </c>
      <c r="I63" s="741">
        <v>0.12445523054517114</v>
      </c>
      <c r="J63" s="741">
        <v>0.18968909293086492</v>
      </c>
      <c r="K63" s="741">
        <v>0.14687390880442702</v>
      </c>
      <c r="L63" s="741">
        <v>0.1601463425091155</v>
      </c>
      <c r="M63" s="741">
        <v>0.12938986257127422</v>
      </c>
      <c r="N63" s="741">
        <v>0.15828653563225858</v>
      </c>
      <c r="O63" s="741">
        <v>3.6063123220928546</v>
      </c>
      <c r="P63" s="741">
        <v>3.0159708944422818</v>
      </c>
      <c r="Q63" s="741">
        <v>3.4984981618319018</v>
      </c>
      <c r="R63" s="741">
        <v>2.7626248876306976</v>
      </c>
      <c r="S63" s="741">
        <v>3.1953363023757482</v>
      </c>
      <c r="T63" s="741">
        <v>2.5094872524199667</v>
      </c>
      <c r="U63" s="741">
        <v>2.4016750191559422</v>
      </c>
      <c r="V63" s="741">
        <v>2.3354403200079981</v>
      </c>
      <c r="W63" s="741">
        <v>2.3005331588585047</v>
      </c>
      <c r="X63" s="741">
        <v>2.4511575216741788</v>
      </c>
    </row>
    <row r="64" spans="1:24" x14ac:dyDescent="0.25">
      <c r="A64" s="713" t="s">
        <v>573</v>
      </c>
      <c r="B64" s="713" t="s">
        <v>177</v>
      </c>
      <c r="C64" s="714" t="s">
        <v>175</v>
      </c>
      <c r="D64" s="741">
        <v>35</v>
      </c>
      <c r="E64" s="741">
        <v>0.14435512361933994</v>
      </c>
      <c r="F64" s="741">
        <v>0.11371464879477931</v>
      </c>
      <c r="G64" s="741">
        <v>0.1282462529268491</v>
      </c>
      <c r="H64" s="741">
        <v>9.7054704725226537E-2</v>
      </c>
      <c r="I64" s="741">
        <v>0.12137938954899047</v>
      </c>
      <c r="J64" s="741">
        <v>0.19234700892457723</v>
      </c>
      <c r="K64" s="741">
        <v>0.14239102747938415</v>
      </c>
      <c r="L64" s="741">
        <v>0.16667997768910675</v>
      </c>
      <c r="M64" s="741">
        <v>0.12028265880847538</v>
      </c>
      <c r="N64" s="741">
        <v>0.15437457296658011</v>
      </c>
      <c r="O64" s="741">
        <v>3.0459005684827614</v>
      </c>
      <c r="P64" s="741">
        <v>2.6695544668086559</v>
      </c>
      <c r="Q64" s="741">
        <v>3.0447803282604302</v>
      </c>
      <c r="R64" s="741">
        <v>2.4453067033676423</v>
      </c>
      <c r="S64" s="741">
        <v>2.8018694318234578</v>
      </c>
      <c r="T64" s="741">
        <v>2.1718431015990474</v>
      </c>
      <c r="U64" s="741">
        <v>2.0770001816832497</v>
      </c>
      <c r="V64" s="741">
        <v>2.0700678157447738</v>
      </c>
      <c r="W64" s="741">
        <v>1.9895320207968792</v>
      </c>
      <c r="X64" s="741">
        <v>2.1367464526211335</v>
      </c>
    </row>
    <row r="65" spans="1:24" x14ac:dyDescent="0.25">
      <c r="A65" s="713" t="s">
        <v>573</v>
      </c>
      <c r="B65" s="713" t="s">
        <v>177</v>
      </c>
      <c r="C65" s="714" t="s">
        <v>175</v>
      </c>
      <c r="D65" s="741">
        <v>40</v>
      </c>
      <c r="E65" s="741">
        <v>0.14623192151288009</v>
      </c>
      <c r="F65" s="741">
        <v>0.11423390202270488</v>
      </c>
      <c r="G65" s="741">
        <v>0.13170067665196777</v>
      </c>
      <c r="H65" s="741">
        <v>9.2798652619153474E-2</v>
      </c>
      <c r="I65" s="741">
        <v>0.12031025605128584</v>
      </c>
      <c r="J65" s="741">
        <v>0.19484776159706518</v>
      </c>
      <c r="K65" s="741">
        <v>0.14304122515778303</v>
      </c>
      <c r="L65" s="741">
        <v>0.17116964702673584</v>
      </c>
      <c r="M65" s="741">
        <v>0.11500801225944704</v>
      </c>
      <c r="N65" s="741">
        <v>0.15301481141426318</v>
      </c>
      <c r="O65" s="741">
        <v>2.8970714112249634</v>
      </c>
      <c r="P65" s="741">
        <v>2.5642454233510881</v>
      </c>
      <c r="Q65" s="741">
        <v>2.9534861042199592</v>
      </c>
      <c r="R65" s="741">
        <v>2.3488414048794697</v>
      </c>
      <c r="S65" s="741">
        <v>2.699003415111672</v>
      </c>
      <c r="T65" s="741">
        <v>2.0894057138338855</v>
      </c>
      <c r="U65" s="741">
        <v>1.9973617655133868</v>
      </c>
      <c r="V65" s="741">
        <v>2.0168646691820462</v>
      </c>
      <c r="W65" s="741">
        <v>1.9132446918911634</v>
      </c>
      <c r="X65" s="741">
        <v>2.0636276713269504</v>
      </c>
    </row>
    <row r="66" spans="1:24" x14ac:dyDescent="0.25">
      <c r="A66" s="713" t="s">
        <v>573</v>
      </c>
      <c r="B66" s="713" t="s">
        <v>177</v>
      </c>
      <c r="C66" s="714" t="s">
        <v>175</v>
      </c>
      <c r="D66" s="741">
        <v>45</v>
      </c>
      <c r="E66" s="741">
        <v>0.14741712064719684</v>
      </c>
      <c r="F66" s="741">
        <v>0.1147693849196471</v>
      </c>
      <c r="G66" s="741">
        <v>0.13323558499776059</v>
      </c>
      <c r="H66" s="741">
        <v>9.1159848582018213E-2</v>
      </c>
      <c r="I66" s="741">
        <v>0.12005010903445842</v>
      </c>
      <c r="J66" s="741">
        <v>0.19642698859469476</v>
      </c>
      <c r="K66" s="741">
        <v>0.14371174527723435</v>
      </c>
      <c r="L66" s="741">
        <v>0.17316454732980749</v>
      </c>
      <c r="M66" s="741">
        <v>0.11297699575786926</v>
      </c>
      <c r="N66" s="741">
        <v>0.15268394729655352</v>
      </c>
      <c r="O66" s="741">
        <v>2.7787133085354032</v>
      </c>
      <c r="P66" s="741">
        <v>2.4826283280290049</v>
      </c>
      <c r="Q66" s="741">
        <v>2.8776334028474437</v>
      </c>
      <c r="R66" s="741">
        <v>2.2740810441009214</v>
      </c>
      <c r="S66" s="741">
        <v>2.6174082907594189</v>
      </c>
      <c r="T66" s="741">
        <v>2.0244315426179726</v>
      </c>
      <c r="U66" s="741">
        <v>1.934662333302003</v>
      </c>
      <c r="V66" s="741">
        <v>1.9727989984435272</v>
      </c>
      <c r="W66" s="741">
        <v>1.8531855728045987</v>
      </c>
      <c r="X66" s="741">
        <v>2.0053283772256583</v>
      </c>
    </row>
    <row r="67" spans="1:24" x14ac:dyDescent="0.25">
      <c r="A67" s="713" t="s">
        <v>573</v>
      </c>
      <c r="B67" s="713" t="s">
        <v>177</v>
      </c>
      <c r="C67" s="714" t="s">
        <v>175</v>
      </c>
      <c r="D67" s="741">
        <v>50</v>
      </c>
      <c r="E67" s="741">
        <v>0.14724703821990237</v>
      </c>
      <c r="F67" s="741">
        <v>0.11491558466448003</v>
      </c>
      <c r="G67" s="741">
        <v>0.13279946688745556</v>
      </c>
      <c r="H67" s="741">
        <v>9.3709276829885252E-2</v>
      </c>
      <c r="I67" s="741">
        <v>0.12132440606832043</v>
      </c>
      <c r="J67" s="741">
        <v>0.19620036105740701</v>
      </c>
      <c r="K67" s="741">
        <v>0.14389481344043603</v>
      </c>
      <c r="L67" s="741">
        <v>0.17259773032551715</v>
      </c>
      <c r="M67" s="741">
        <v>0.11613657477017013</v>
      </c>
      <c r="N67" s="741">
        <v>0.15430464304371436</v>
      </c>
      <c r="O67" s="741">
        <v>2.6634407949774022</v>
      </c>
      <c r="P67" s="741">
        <v>2.5533918158258437</v>
      </c>
      <c r="Q67" s="741">
        <v>2.7952043570808196</v>
      </c>
      <c r="R67" s="741">
        <v>2.3389015800635296</v>
      </c>
      <c r="S67" s="741">
        <v>2.6253754913449403</v>
      </c>
      <c r="T67" s="741">
        <v>1.9412632809264001</v>
      </c>
      <c r="U67" s="741">
        <v>1.8546112937681116</v>
      </c>
      <c r="V67" s="741">
        <v>1.9098342287036831</v>
      </c>
      <c r="W67" s="741">
        <v>1.7765052931895786</v>
      </c>
      <c r="X67" s="741">
        <v>1.9286377168112647</v>
      </c>
    </row>
    <row r="68" spans="1:24" x14ac:dyDescent="0.25">
      <c r="A68" s="713" t="s">
        <v>573</v>
      </c>
      <c r="B68" s="713" t="s">
        <v>177</v>
      </c>
      <c r="C68" s="714" t="s">
        <v>175</v>
      </c>
      <c r="D68" s="741">
        <v>55</v>
      </c>
      <c r="E68" s="741">
        <v>0.1468502088542015</v>
      </c>
      <c r="F68" s="741">
        <v>0.11307500480056848</v>
      </c>
      <c r="G68" s="741">
        <v>0.13185912572975517</v>
      </c>
      <c r="H68" s="741">
        <v>9.5661695303790414E-2</v>
      </c>
      <c r="I68" s="741">
        <v>0.12171775045551075</v>
      </c>
      <c r="J68" s="741">
        <v>0.19567160295286429</v>
      </c>
      <c r="K68" s="741">
        <v>0.14159007908335938</v>
      </c>
      <c r="L68" s="741">
        <v>0.17137558122089533</v>
      </c>
      <c r="M68" s="741">
        <v>0.11855626257214699</v>
      </c>
      <c r="N68" s="741">
        <v>0.15480491225768003</v>
      </c>
      <c r="O68" s="741">
        <v>2.5689793080233114</v>
      </c>
      <c r="P68" s="741">
        <v>2.6112903840857213</v>
      </c>
      <c r="Q68" s="741">
        <v>2.722852111900846</v>
      </c>
      <c r="R68" s="741">
        <v>2.391934722854312</v>
      </c>
      <c r="S68" s="741">
        <v>2.6302656188123907</v>
      </c>
      <c r="T68" s="741">
        <v>1.8612433809853217</v>
      </c>
      <c r="U68" s="741">
        <v>1.7776904610037436</v>
      </c>
      <c r="V68" s="741">
        <v>1.8460925256406462</v>
      </c>
      <c r="W68" s="741">
        <v>1.7028235273809891</v>
      </c>
      <c r="X68" s="741">
        <v>1.8538552872961631</v>
      </c>
    </row>
    <row r="69" spans="1:24" x14ac:dyDescent="0.25">
      <c r="A69" s="713" t="s">
        <v>573</v>
      </c>
      <c r="B69" s="713" t="s">
        <v>177</v>
      </c>
      <c r="C69" s="714" t="s">
        <v>175</v>
      </c>
      <c r="D69" s="741">
        <v>60</v>
      </c>
      <c r="E69" s="741">
        <v>0.14813221664307608</v>
      </c>
      <c r="F69" s="741">
        <v>0.11091623040333042</v>
      </c>
      <c r="G69" s="741">
        <v>0.13170991003456295</v>
      </c>
      <c r="H69" s="741">
        <v>9.6620654587413438E-2</v>
      </c>
      <c r="I69" s="741">
        <v>0.12183241046212674</v>
      </c>
      <c r="J69" s="741">
        <v>0.19737982332929013</v>
      </c>
      <c r="K69" s="741">
        <v>0.1388869084032682</v>
      </c>
      <c r="L69" s="741">
        <v>0.17118164753333806</v>
      </c>
      <c r="M69" s="741">
        <v>0.11974472811485107</v>
      </c>
      <c r="N69" s="741">
        <v>0.15495074088330962</v>
      </c>
      <c r="O69" s="741">
        <v>2.5313434789447973</v>
      </c>
      <c r="P69" s="741">
        <v>2.5837833879059766</v>
      </c>
      <c r="Q69" s="741">
        <v>2.691998500077649</v>
      </c>
      <c r="R69" s="741">
        <v>2.3667405295535766</v>
      </c>
      <c r="S69" s="741">
        <v>2.6011677710540941</v>
      </c>
      <c r="T69" s="741">
        <v>1.8160394197068395</v>
      </c>
      <c r="U69" s="741">
        <v>1.7343406609489416</v>
      </c>
      <c r="V69" s="741">
        <v>1.806746688474729</v>
      </c>
      <c r="W69" s="741">
        <v>1.661299727752843</v>
      </c>
      <c r="X69" s="741">
        <v>1.8105583036090485</v>
      </c>
    </row>
    <row r="70" spans="1:24" x14ac:dyDescent="0.25">
      <c r="A70" s="713" t="s">
        <v>573</v>
      </c>
      <c r="B70" s="713" t="s">
        <v>177</v>
      </c>
      <c r="C70" s="714" t="s">
        <v>175</v>
      </c>
      <c r="D70" s="741">
        <v>65</v>
      </c>
      <c r="E70" s="741">
        <v>0.15514447612813181</v>
      </c>
      <c r="F70" s="741">
        <v>0.11132261471375234</v>
      </c>
      <c r="G70" s="741">
        <v>0.13572261832845106</v>
      </c>
      <c r="H70" s="741">
        <v>9.8967192636116239E-2</v>
      </c>
      <c r="I70" s="741">
        <v>0.12475836448129866</v>
      </c>
      <c r="J70" s="741">
        <v>0.20672335824468518</v>
      </c>
      <c r="K70" s="741">
        <v>0.13939577406064635</v>
      </c>
      <c r="L70" s="741">
        <v>0.17639691202359703</v>
      </c>
      <c r="M70" s="741">
        <v>0.12265285952684495</v>
      </c>
      <c r="N70" s="741">
        <v>0.15867207202451794</v>
      </c>
      <c r="O70" s="741">
        <v>2.7909360660938192</v>
      </c>
      <c r="P70" s="741">
        <v>2.8506082424590131</v>
      </c>
      <c r="Q70" s="741">
        <v>2.9111330481463149</v>
      </c>
      <c r="R70" s="741">
        <v>2.6111500097766398</v>
      </c>
      <c r="S70" s="741">
        <v>2.8502697374746302</v>
      </c>
      <c r="T70" s="741">
        <v>1.9005895092448344</v>
      </c>
      <c r="U70" s="741">
        <v>1.8157125253094475</v>
      </c>
      <c r="V70" s="741">
        <v>1.8711189762661129</v>
      </c>
      <c r="W70" s="741">
        <v>1.7392450512222677</v>
      </c>
      <c r="X70" s="741">
        <v>1.8886382405002999</v>
      </c>
    </row>
    <row r="71" spans="1:24" x14ac:dyDescent="0.25">
      <c r="A71" s="713" t="s">
        <v>573</v>
      </c>
      <c r="B71" s="713" t="s">
        <v>177</v>
      </c>
      <c r="C71" s="714" t="s">
        <v>175</v>
      </c>
      <c r="D71" s="741">
        <v>70</v>
      </c>
      <c r="E71" s="741">
        <v>0.1669092765940946</v>
      </c>
      <c r="F71" s="741">
        <v>0.11864272467120761</v>
      </c>
      <c r="G71" s="741">
        <v>0.14322439276442595</v>
      </c>
      <c r="H71" s="741">
        <v>0.10547850184871706</v>
      </c>
      <c r="I71" s="741">
        <v>0.13261020011445071</v>
      </c>
      <c r="J71" s="741">
        <v>0.22239945011787476</v>
      </c>
      <c r="K71" s="741">
        <v>0.14856185766685961</v>
      </c>
      <c r="L71" s="741">
        <v>0.18614687014775544</v>
      </c>
      <c r="M71" s="741">
        <v>0.13072251041737185</v>
      </c>
      <c r="N71" s="741">
        <v>0.16865831250056182</v>
      </c>
      <c r="O71" s="741">
        <v>3.0367431851724933</v>
      </c>
      <c r="P71" s="741">
        <v>3.1032309249181744</v>
      </c>
      <c r="Q71" s="741">
        <v>3.1196772730216042</v>
      </c>
      <c r="R71" s="741">
        <v>2.8425531027846853</v>
      </c>
      <c r="S71" s="741">
        <v>3.0864699177601698</v>
      </c>
      <c r="T71" s="741">
        <v>1.9760114708952488</v>
      </c>
      <c r="U71" s="741">
        <v>1.8883165218810156</v>
      </c>
      <c r="V71" s="741">
        <v>1.9278724524244106</v>
      </c>
      <c r="W71" s="741">
        <v>1.8087919144859692</v>
      </c>
      <c r="X71" s="741">
        <v>1.9580754913999052</v>
      </c>
    </row>
    <row r="72" spans="1:24" x14ac:dyDescent="0.25">
      <c r="A72" s="713" t="s">
        <v>573</v>
      </c>
      <c r="B72" s="713" t="s">
        <v>177</v>
      </c>
      <c r="C72" s="714" t="s">
        <v>175</v>
      </c>
      <c r="D72" s="741">
        <v>75</v>
      </c>
      <c r="E72" s="741">
        <v>0.18110021727096995</v>
      </c>
      <c r="F72" s="741">
        <v>0.12854461530382189</v>
      </c>
      <c r="G72" s="741">
        <v>0.1524853547140593</v>
      </c>
      <c r="H72" s="741">
        <v>0.11428406466357384</v>
      </c>
      <c r="I72" s="741">
        <v>0.14287456149574754</v>
      </c>
      <c r="J72" s="741">
        <v>0.24130826973290223</v>
      </c>
      <c r="K72" s="741">
        <v>0.16096079127928237</v>
      </c>
      <c r="L72" s="741">
        <v>0.19818322127627552</v>
      </c>
      <c r="M72" s="741">
        <v>0.14163549511682164</v>
      </c>
      <c r="N72" s="741">
        <v>0.18171288800057125</v>
      </c>
      <c r="O72" s="741">
        <v>3.0673484616144897</v>
      </c>
      <c r="P72" s="741">
        <v>3.1348097821319501</v>
      </c>
      <c r="Q72" s="741">
        <v>3.1418766834723875</v>
      </c>
      <c r="R72" s="741">
        <v>2.8714762090808907</v>
      </c>
      <c r="S72" s="741">
        <v>3.1147113123930534</v>
      </c>
      <c r="T72" s="741">
        <v>1.9194952586492446</v>
      </c>
      <c r="U72" s="741">
        <v>1.8341676006564345</v>
      </c>
      <c r="V72" s="741">
        <v>1.8771986619896253</v>
      </c>
      <c r="W72" s="741">
        <v>1.7569253615690756</v>
      </c>
      <c r="X72" s="741">
        <v>1.9034791586401374</v>
      </c>
    </row>
    <row r="73" spans="1:24" x14ac:dyDescent="0.25">
      <c r="A73" s="715" t="s">
        <v>573</v>
      </c>
      <c r="B73" s="715" t="s">
        <v>177</v>
      </c>
      <c r="C73" s="715" t="s">
        <v>178</v>
      </c>
      <c r="D73" s="745" t="s">
        <v>574</v>
      </c>
      <c r="E73" s="745">
        <v>5.3050963669977684E-2</v>
      </c>
      <c r="F73" s="745">
        <v>5.5388003482672518E-2</v>
      </c>
      <c r="G73" s="745">
        <v>5.2925250759037333E-2</v>
      </c>
      <c r="H73" s="745">
        <v>6.5481699776108238E-2</v>
      </c>
      <c r="I73" s="745">
        <v>5.8881363050891991E-2</v>
      </c>
      <c r="J73" s="745">
        <v>6.0143218386003353E-2</v>
      </c>
      <c r="K73" s="745">
        <v>5.6979608117948936E-2</v>
      </c>
      <c r="L73" s="745">
        <v>5.7494485256473195E-2</v>
      </c>
      <c r="M73" s="745">
        <v>6.6045723940746578E-2</v>
      </c>
      <c r="N73" s="745">
        <v>6.1392032891029527E-2</v>
      </c>
      <c r="O73" s="745">
        <v>0.33476141638983048</v>
      </c>
      <c r="P73" s="745">
        <v>0.36229969537084683</v>
      </c>
      <c r="Q73" s="745">
        <v>0.35954497889651232</v>
      </c>
      <c r="R73" s="745">
        <v>0.41036704353679621</v>
      </c>
      <c r="S73" s="745">
        <v>0.38034846050674992</v>
      </c>
      <c r="T73" s="745">
        <v>0.27028735489667116</v>
      </c>
      <c r="U73" s="745">
        <v>0.29875050096271771</v>
      </c>
      <c r="V73" s="745">
        <v>0.27359881140020076</v>
      </c>
      <c r="W73" s="745">
        <v>0.35321591631240912</v>
      </c>
      <c r="X73" s="745">
        <v>0.31263608409768612</v>
      </c>
    </row>
    <row r="74" spans="1:24" x14ac:dyDescent="0.25">
      <c r="A74" s="715" t="s">
        <v>573</v>
      </c>
      <c r="B74" s="715" t="s">
        <v>177</v>
      </c>
      <c r="C74" s="715" t="s">
        <v>178</v>
      </c>
      <c r="D74" s="741">
        <v>2.5</v>
      </c>
      <c r="E74" s="741">
        <v>0.67707911896733486</v>
      </c>
      <c r="F74" s="741">
        <v>0.52916267580561371</v>
      </c>
      <c r="G74" s="741">
        <v>0.55937944215155455</v>
      </c>
      <c r="H74" s="741">
        <v>0.49603680056580801</v>
      </c>
      <c r="I74" s="741">
        <v>0.54027669742653306</v>
      </c>
      <c r="J74" s="741">
        <v>0.76757871902319386</v>
      </c>
      <c r="K74" s="741">
        <v>0.54435260920043826</v>
      </c>
      <c r="L74" s="741">
        <v>0.60782212893624654</v>
      </c>
      <c r="M74" s="741">
        <v>0.50036898385860484</v>
      </c>
      <c r="N74" s="741">
        <v>0.56337277410048303</v>
      </c>
      <c r="O74" s="741">
        <v>4.6951083381596028</v>
      </c>
      <c r="P74" s="741">
        <v>3.8478579468472343</v>
      </c>
      <c r="Q74" s="741">
        <v>4.1998920015696655</v>
      </c>
      <c r="R74" s="741">
        <v>3.5851490337320309</v>
      </c>
      <c r="S74" s="741">
        <v>3.8522005373141033</v>
      </c>
      <c r="T74" s="741">
        <v>4.4264830484392608</v>
      </c>
      <c r="U74" s="741">
        <v>3.2829737486781143</v>
      </c>
      <c r="V74" s="741">
        <v>3.4346433097039064</v>
      </c>
      <c r="W74" s="741">
        <v>3.0526684248102196</v>
      </c>
      <c r="X74" s="741">
        <v>3.2568218972968399</v>
      </c>
    </row>
    <row r="75" spans="1:24" x14ac:dyDescent="0.25">
      <c r="A75" s="715" t="s">
        <v>573</v>
      </c>
      <c r="B75" s="715" t="s">
        <v>177</v>
      </c>
      <c r="C75" s="715" t="s">
        <v>178</v>
      </c>
      <c r="D75" s="741">
        <v>5</v>
      </c>
      <c r="E75" s="741">
        <v>0.35834220695296315</v>
      </c>
      <c r="F75" s="741">
        <v>0.28031189346270102</v>
      </c>
      <c r="G75" s="741">
        <v>0.29505892818572016</v>
      </c>
      <c r="H75" s="741">
        <v>0.26276983691834827</v>
      </c>
      <c r="I75" s="741">
        <v>0.28579732351272663</v>
      </c>
      <c r="J75" s="741">
        <v>0.40623886408490695</v>
      </c>
      <c r="K75" s="741">
        <v>0.28835841523408862</v>
      </c>
      <c r="L75" s="741">
        <v>0.32061125664840123</v>
      </c>
      <c r="M75" s="741">
        <v>0.26506476160145664</v>
      </c>
      <c r="N75" s="741">
        <v>0.29801476122288656</v>
      </c>
      <c r="O75" s="741">
        <v>2.3640734364972387</v>
      </c>
      <c r="P75" s="741">
        <v>1.9272802141651804</v>
      </c>
      <c r="Q75" s="741">
        <v>2.1524856431483905</v>
      </c>
      <c r="R75" s="741">
        <v>1.7956980616483791</v>
      </c>
      <c r="S75" s="741">
        <v>1.9456670806483141</v>
      </c>
      <c r="T75" s="741">
        <v>2.221914649538538</v>
      </c>
      <c r="U75" s="741">
        <v>1.6510665891404597</v>
      </c>
      <c r="V75" s="741">
        <v>1.7530976746064202</v>
      </c>
      <c r="W75" s="741">
        <v>1.53524115580597</v>
      </c>
      <c r="X75" s="741">
        <v>1.6454332485683363</v>
      </c>
    </row>
    <row r="76" spans="1:24" x14ac:dyDescent="0.25">
      <c r="A76" s="715" t="s">
        <v>573</v>
      </c>
      <c r="B76" s="715" t="s">
        <v>177</v>
      </c>
      <c r="C76" s="715" t="s">
        <v>178</v>
      </c>
      <c r="D76" s="741">
        <v>10</v>
      </c>
      <c r="E76" s="741">
        <v>0.19881766265096654</v>
      </c>
      <c r="F76" s="741">
        <v>0.15592208886824138</v>
      </c>
      <c r="G76" s="741">
        <v>0.16240763476863787</v>
      </c>
      <c r="H76" s="741">
        <v>0.14617014962419431</v>
      </c>
      <c r="I76" s="741">
        <v>0.15842101451208643</v>
      </c>
      <c r="J76" s="741">
        <v>0.22539198528167409</v>
      </c>
      <c r="K76" s="741">
        <v>0.16039792636204178</v>
      </c>
      <c r="L76" s="741">
        <v>0.17647225994020121</v>
      </c>
      <c r="M76" s="741">
        <v>0.14744674015010939</v>
      </c>
      <c r="N76" s="741">
        <v>0.1651932923381787</v>
      </c>
      <c r="O76" s="741">
        <v>1.2772739082442028</v>
      </c>
      <c r="P76" s="741">
        <v>0.98458268745466093</v>
      </c>
      <c r="Q76" s="741">
        <v>1.1604309227507656</v>
      </c>
      <c r="R76" s="741">
        <v>0.91736457474705624</v>
      </c>
      <c r="S76" s="741">
        <v>1.0172750585191701</v>
      </c>
      <c r="T76" s="741">
        <v>1.1866659627261742</v>
      </c>
      <c r="U76" s="741">
        <v>0.88505680806922471</v>
      </c>
      <c r="V76" s="741">
        <v>0.9354042571535639</v>
      </c>
      <c r="W76" s="741">
        <v>0.82297029402627753</v>
      </c>
      <c r="X76" s="741">
        <v>0.88052542796776534</v>
      </c>
    </row>
    <row r="77" spans="1:24" x14ac:dyDescent="0.25">
      <c r="A77" s="715" t="s">
        <v>573</v>
      </c>
      <c r="B77" s="715" t="s">
        <v>177</v>
      </c>
      <c r="C77" s="715" t="s">
        <v>178</v>
      </c>
      <c r="D77" s="741">
        <v>15</v>
      </c>
      <c r="E77" s="741">
        <v>0.14575693699645068</v>
      </c>
      <c r="F77" s="741">
        <v>0.11449040484690205</v>
      </c>
      <c r="G77" s="741">
        <v>0.11897451373268993</v>
      </c>
      <c r="H77" s="741">
        <v>0.10733375288588276</v>
      </c>
      <c r="I77" s="741">
        <v>0.11622975523454182</v>
      </c>
      <c r="J77" s="741">
        <v>0.16523906860267173</v>
      </c>
      <c r="K77" s="741">
        <v>0.11777692089099619</v>
      </c>
      <c r="L77" s="741">
        <v>0.12927779746071838</v>
      </c>
      <c r="M77" s="741">
        <v>0.10827116214760489</v>
      </c>
      <c r="N77" s="741">
        <v>0.12119841546267696</v>
      </c>
      <c r="O77" s="741">
        <v>0.92394170491476924</v>
      </c>
      <c r="P77" s="741">
        <v>0.67470850787312542</v>
      </c>
      <c r="Q77" s="741">
        <v>0.83914944390501212</v>
      </c>
      <c r="R77" s="741">
        <v>0.62864730178319139</v>
      </c>
      <c r="S77" s="741">
        <v>0.71385616610844405</v>
      </c>
      <c r="T77" s="741">
        <v>0.85390520732215069</v>
      </c>
      <c r="U77" s="741">
        <v>0.63718661574528634</v>
      </c>
      <c r="V77" s="741">
        <v>0.67919332590808135</v>
      </c>
      <c r="W77" s="741">
        <v>0.59249177364319261</v>
      </c>
      <c r="X77" s="741">
        <v>0.63563275952617726</v>
      </c>
    </row>
    <row r="78" spans="1:24" x14ac:dyDescent="0.25">
      <c r="A78" s="715" t="s">
        <v>573</v>
      </c>
      <c r="B78" s="715" t="s">
        <v>177</v>
      </c>
      <c r="C78" s="715" t="s">
        <v>178</v>
      </c>
      <c r="D78" s="741">
        <v>20</v>
      </c>
      <c r="E78" s="741">
        <v>0.11279794507057808</v>
      </c>
      <c r="F78" s="741">
        <v>9.3019808503840604E-2</v>
      </c>
      <c r="G78" s="741">
        <v>9.2817697194885571E-2</v>
      </c>
      <c r="H78" s="741">
        <v>8.7208075432454457E-2</v>
      </c>
      <c r="I78" s="741">
        <v>9.2962241202014892E-2</v>
      </c>
      <c r="J78" s="741">
        <v>0.12787471915804266</v>
      </c>
      <c r="K78" s="741">
        <v>9.56899981452803E-2</v>
      </c>
      <c r="L78" s="741">
        <v>0.10085578063962901</v>
      </c>
      <c r="M78" s="741">
        <v>8.7969715228039189E-2</v>
      </c>
      <c r="N78" s="741">
        <v>9.69362475969065E-2</v>
      </c>
      <c r="O78" s="741">
        <v>0.73661065422375327</v>
      </c>
      <c r="P78" s="741">
        <v>0.55371722026461945</v>
      </c>
      <c r="Q78" s="741">
        <v>0.67219033225998082</v>
      </c>
      <c r="R78" s="741">
        <v>0.51591857051788037</v>
      </c>
      <c r="S78" s="741">
        <v>0.57936901747200276</v>
      </c>
      <c r="T78" s="741">
        <v>0.67573669490550725</v>
      </c>
      <c r="U78" s="741">
        <v>0.50396686118924905</v>
      </c>
      <c r="V78" s="741">
        <v>0.54693172382205879</v>
      </c>
      <c r="W78" s="741">
        <v>0.4686200756869987</v>
      </c>
      <c r="X78" s="741">
        <v>0.50567716460644141</v>
      </c>
    </row>
    <row r="79" spans="1:24" x14ac:dyDescent="0.25">
      <c r="A79" s="715" t="s">
        <v>573</v>
      </c>
      <c r="B79" s="715" t="s">
        <v>177</v>
      </c>
      <c r="C79" s="715" t="s">
        <v>178</v>
      </c>
      <c r="D79" s="741">
        <v>25</v>
      </c>
      <c r="E79" s="741">
        <v>9.4668504993293934E-2</v>
      </c>
      <c r="F79" s="741">
        <v>7.8582952080213597E-2</v>
      </c>
      <c r="G79" s="741">
        <v>7.8268484699595922E-2</v>
      </c>
      <c r="H79" s="741">
        <v>7.3675232573773217E-2</v>
      </c>
      <c r="I79" s="741">
        <v>7.8459168114585282E-2</v>
      </c>
      <c r="J79" s="741">
        <v>0.10732206585460966</v>
      </c>
      <c r="K79" s="741">
        <v>8.0838723060753473E-2</v>
      </c>
      <c r="L79" s="741">
        <v>8.5046595233711234E-2</v>
      </c>
      <c r="M79" s="741">
        <v>7.4318682034145822E-2</v>
      </c>
      <c r="N79" s="741">
        <v>8.1813188325303696E-2</v>
      </c>
      <c r="O79" s="741">
        <v>0.60534227481476333</v>
      </c>
      <c r="P79" s="741">
        <v>0.47756604549342152</v>
      </c>
      <c r="Q79" s="741">
        <v>0.55687254554829324</v>
      </c>
      <c r="R79" s="741">
        <v>0.44496793153714903</v>
      </c>
      <c r="S79" s="741">
        <v>0.49070579419945465</v>
      </c>
      <c r="T79" s="741">
        <v>0.56521805400097158</v>
      </c>
      <c r="U79" s="741">
        <v>0.42132441128140902</v>
      </c>
      <c r="V79" s="741">
        <v>0.4650387660058598</v>
      </c>
      <c r="W79" s="741">
        <v>0.3917765087369276</v>
      </c>
      <c r="X79" s="741">
        <v>0.42510641620602369</v>
      </c>
    </row>
    <row r="80" spans="1:24" x14ac:dyDescent="0.25">
      <c r="A80" s="715" t="s">
        <v>573</v>
      </c>
      <c r="B80" s="715" t="s">
        <v>177</v>
      </c>
      <c r="C80" s="715" t="s">
        <v>178</v>
      </c>
      <c r="D80" s="741">
        <v>30</v>
      </c>
      <c r="E80" s="741">
        <v>8.2897261337335049E-2</v>
      </c>
      <c r="F80" s="741">
        <v>6.7906249916431322E-2</v>
      </c>
      <c r="G80" s="741">
        <v>6.9591082628277498E-2</v>
      </c>
      <c r="H80" s="741">
        <v>6.3669016082234062E-2</v>
      </c>
      <c r="I80" s="741">
        <v>6.8459552474570598E-2</v>
      </c>
      <c r="J80" s="741">
        <v>9.397745682201783E-2</v>
      </c>
      <c r="K80" s="741">
        <v>6.9855539729346647E-2</v>
      </c>
      <c r="L80" s="741">
        <v>7.5617723517693511E-2</v>
      </c>
      <c r="M80" s="741">
        <v>6.4225075325067743E-2</v>
      </c>
      <c r="N80" s="741">
        <v>7.1386103037547624E-2</v>
      </c>
      <c r="O80" s="741">
        <v>0.53598367173327977</v>
      </c>
      <c r="P80" s="741">
        <v>0.43285295196314388</v>
      </c>
      <c r="Q80" s="741">
        <v>0.49458637523200449</v>
      </c>
      <c r="R80" s="741">
        <v>0.40330847611720488</v>
      </c>
      <c r="S80" s="741">
        <v>0.44081229021017954</v>
      </c>
      <c r="T80" s="741">
        <v>0.49851937953718628</v>
      </c>
      <c r="U80" s="741">
        <v>0.37153143119354942</v>
      </c>
      <c r="V80" s="741">
        <v>0.41280423191417331</v>
      </c>
      <c r="W80" s="741">
        <v>0.34547737887260604</v>
      </c>
      <c r="X80" s="741">
        <v>0.3756889934359568</v>
      </c>
    </row>
    <row r="81" spans="1:24" x14ac:dyDescent="0.25">
      <c r="A81" s="715" t="s">
        <v>573</v>
      </c>
      <c r="B81" s="715" t="s">
        <v>177</v>
      </c>
      <c r="C81" s="715" t="s">
        <v>178</v>
      </c>
      <c r="D81" s="741">
        <v>35</v>
      </c>
      <c r="E81" s="741">
        <v>7.4556818200403163E-2</v>
      </c>
      <c r="F81" s="741">
        <v>6.0218143211753977E-2</v>
      </c>
      <c r="G81" s="741">
        <v>6.4730978121613741E-2</v>
      </c>
      <c r="H81" s="741">
        <v>5.6305281256330837E-2</v>
      </c>
      <c r="I81" s="741">
        <v>6.1618044380268966E-2</v>
      </c>
      <c r="J81" s="741">
        <v>8.4522215211707843E-2</v>
      </c>
      <c r="K81" s="741">
        <v>6.1946741290131224E-2</v>
      </c>
      <c r="L81" s="741">
        <v>7.0336730249991958E-2</v>
      </c>
      <c r="M81" s="741">
        <v>5.6797028639744049E-2</v>
      </c>
      <c r="N81" s="741">
        <v>6.4252129996554608E-2</v>
      </c>
      <c r="O81" s="741">
        <v>0.48416620922044196</v>
      </c>
      <c r="P81" s="741">
        <v>0.38966834299754555</v>
      </c>
      <c r="Q81" s="741">
        <v>0.44712640072511234</v>
      </c>
      <c r="R81" s="741">
        <v>0.36307085386433124</v>
      </c>
      <c r="S81" s="741">
        <v>0.39752624427659333</v>
      </c>
      <c r="T81" s="741">
        <v>0.43571049534218276</v>
      </c>
      <c r="U81" s="741">
        <v>0.32461402298796388</v>
      </c>
      <c r="V81" s="741">
        <v>0.36450844777432501</v>
      </c>
      <c r="W81" s="741">
        <v>0.30184946778776728</v>
      </c>
      <c r="X81" s="741">
        <v>0.32940253616578269</v>
      </c>
    </row>
    <row r="82" spans="1:24" x14ac:dyDescent="0.25">
      <c r="A82" s="715" t="s">
        <v>573</v>
      </c>
      <c r="B82" s="715" t="s">
        <v>177</v>
      </c>
      <c r="C82" s="715" t="s">
        <v>178</v>
      </c>
      <c r="D82" s="741">
        <v>40</v>
      </c>
      <c r="E82" s="741">
        <v>6.8302868351621845E-2</v>
      </c>
      <c r="F82" s="741">
        <v>5.4457079877386773E-2</v>
      </c>
      <c r="G82" s="741">
        <v>6.0913162524356891E-2</v>
      </c>
      <c r="H82" s="741">
        <v>5.0755428190221406E-2</v>
      </c>
      <c r="I82" s="741">
        <v>5.6421778166995236E-2</v>
      </c>
      <c r="J82" s="741">
        <v>7.743235129582704E-2</v>
      </c>
      <c r="K82" s="741">
        <v>5.6020303162088003E-2</v>
      </c>
      <c r="L82" s="741">
        <v>6.6188288907054735E-2</v>
      </c>
      <c r="M82" s="741">
        <v>5.1198705418389986E-2</v>
      </c>
      <c r="N82" s="741">
        <v>5.8833730636595707E-2</v>
      </c>
      <c r="O82" s="741">
        <v>0.44785650843948321</v>
      </c>
      <c r="P82" s="741">
        <v>0.35676241474602821</v>
      </c>
      <c r="Q82" s="741">
        <v>0.41465099808504502</v>
      </c>
      <c r="R82" s="741">
        <v>0.33241100914747546</v>
      </c>
      <c r="S82" s="741">
        <v>0.36589606014736659</v>
      </c>
      <c r="T82" s="741">
        <v>0.39410698658552745</v>
      </c>
      <c r="U82" s="741">
        <v>0.29354365053734288</v>
      </c>
      <c r="V82" s="741">
        <v>0.33232424020621687</v>
      </c>
      <c r="W82" s="741">
        <v>0.27295929770112243</v>
      </c>
      <c r="X82" s="741">
        <v>0.29869012253506605</v>
      </c>
    </row>
    <row r="83" spans="1:24" x14ac:dyDescent="0.25">
      <c r="A83" s="715" t="s">
        <v>573</v>
      </c>
      <c r="B83" s="715" t="s">
        <v>177</v>
      </c>
      <c r="C83" s="715" t="s">
        <v>178</v>
      </c>
      <c r="D83" s="741">
        <v>45</v>
      </c>
      <c r="E83" s="741">
        <v>6.3435485512159273E-2</v>
      </c>
      <c r="F83" s="741">
        <v>4.9980307232450262E-2</v>
      </c>
      <c r="G83" s="741">
        <v>5.7713553558282546E-2</v>
      </c>
      <c r="H83" s="741">
        <v>4.6567289848154426E-2</v>
      </c>
      <c r="I83" s="741">
        <v>5.2371174758000932E-2</v>
      </c>
      <c r="J83" s="741">
        <v>7.1914385403438627E-2</v>
      </c>
      <c r="K83" s="741">
        <v>5.1415022061416529E-2</v>
      </c>
      <c r="L83" s="741">
        <v>6.2711591361570215E-2</v>
      </c>
      <c r="M83" s="741">
        <v>4.6973989582611404E-2</v>
      </c>
      <c r="N83" s="741">
        <v>5.4609969570875681E-2</v>
      </c>
      <c r="O83" s="741">
        <v>0.41955970340637472</v>
      </c>
      <c r="P83" s="741">
        <v>0.33121524289592746</v>
      </c>
      <c r="Q83" s="741">
        <v>0.38942917649893233</v>
      </c>
      <c r="R83" s="741">
        <v>0.30860776744449964</v>
      </c>
      <c r="S83" s="741">
        <v>0.34133037804825045</v>
      </c>
      <c r="T83" s="741">
        <v>0.36154822452534302</v>
      </c>
      <c r="U83" s="741">
        <v>0.26921313080753706</v>
      </c>
      <c r="V83" s="741">
        <v>0.30766784825215354</v>
      </c>
      <c r="W83" s="741">
        <v>0.25033623671250771</v>
      </c>
      <c r="X83" s="741">
        <v>0.27480476099888285</v>
      </c>
    </row>
    <row r="84" spans="1:24" x14ac:dyDescent="0.25">
      <c r="A84" s="715" t="s">
        <v>573</v>
      </c>
      <c r="B84" s="715" t="s">
        <v>177</v>
      </c>
      <c r="C84" s="715" t="s">
        <v>178</v>
      </c>
      <c r="D84" s="741">
        <v>50</v>
      </c>
      <c r="E84" s="741">
        <v>5.9272381127140346E-2</v>
      </c>
      <c r="F84" s="741">
        <v>4.6538062140767555E-2</v>
      </c>
      <c r="G84" s="741">
        <v>5.4430660716824043E-2</v>
      </c>
      <c r="H84" s="741">
        <v>4.3423873407959813E-2</v>
      </c>
      <c r="I84" s="741">
        <v>4.9018378933449409E-2</v>
      </c>
      <c r="J84" s="741">
        <v>6.7194833077136806E-2</v>
      </c>
      <c r="K84" s="741">
        <v>4.7873965250650054E-2</v>
      </c>
      <c r="L84" s="741">
        <v>5.9144397493504808E-2</v>
      </c>
      <c r="M84" s="741">
        <v>4.3803119824096494E-2</v>
      </c>
      <c r="N84" s="741">
        <v>5.1113846392387197E-2</v>
      </c>
      <c r="O84" s="741">
        <v>0.39643167333230583</v>
      </c>
      <c r="P84" s="741">
        <v>0.34575578082982794</v>
      </c>
      <c r="Q84" s="741">
        <v>0.36848626722839484</v>
      </c>
      <c r="R84" s="741">
        <v>0.3221548586577162</v>
      </c>
      <c r="S84" s="741">
        <v>0.34185198826677421</v>
      </c>
      <c r="T84" s="741">
        <v>0.33274845420480786</v>
      </c>
      <c r="U84" s="741">
        <v>0.24773507923226301</v>
      </c>
      <c r="V84" s="741">
        <v>0.28434842754863321</v>
      </c>
      <c r="W84" s="741">
        <v>0.23036517449260452</v>
      </c>
      <c r="X84" s="741">
        <v>0.25325094613836596</v>
      </c>
    </row>
    <row r="85" spans="1:24" x14ac:dyDescent="0.25">
      <c r="A85" s="715" t="s">
        <v>573</v>
      </c>
      <c r="B85" s="715" t="s">
        <v>177</v>
      </c>
      <c r="C85" s="715" t="s">
        <v>178</v>
      </c>
      <c r="D85" s="741">
        <v>55</v>
      </c>
      <c r="E85" s="741">
        <v>5.5784858054949232E-2</v>
      </c>
      <c r="F85" s="741">
        <v>4.4268136929297222E-2</v>
      </c>
      <c r="G85" s="741">
        <v>5.1181545919840012E-2</v>
      </c>
      <c r="H85" s="741">
        <v>4.1148938545523407E-2</v>
      </c>
      <c r="I85" s="741">
        <v>4.6339061107032994E-2</v>
      </c>
      <c r="J85" s="741">
        <v>6.3241161464284379E-2</v>
      </c>
      <c r="K85" s="741">
        <v>4.5538880468503323E-2</v>
      </c>
      <c r="L85" s="741">
        <v>5.5613906874355398E-2</v>
      </c>
      <c r="M85" s="741">
        <v>4.150831660755408E-2</v>
      </c>
      <c r="N85" s="741">
        <v>4.8319991458878164E-2</v>
      </c>
      <c r="O85" s="741">
        <v>0.37750117714023412</v>
      </c>
      <c r="P85" s="741">
        <v>0.35765233782453865</v>
      </c>
      <c r="Q85" s="741">
        <v>0.35111136979536089</v>
      </c>
      <c r="R85" s="741">
        <v>0.33323924132711569</v>
      </c>
      <c r="S85" s="741">
        <v>0.34220246404544691</v>
      </c>
      <c r="T85" s="741">
        <v>0.30848660035517839</v>
      </c>
      <c r="U85" s="741">
        <v>0.22966913314584822</v>
      </c>
      <c r="V85" s="741">
        <v>0.26373931158455305</v>
      </c>
      <c r="W85" s="741">
        <v>0.21356683120128381</v>
      </c>
      <c r="X85" s="741">
        <v>0.23482138965942223</v>
      </c>
    </row>
    <row r="86" spans="1:24" x14ac:dyDescent="0.25">
      <c r="A86" s="715" t="s">
        <v>573</v>
      </c>
      <c r="B86" s="715" t="s">
        <v>177</v>
      </c>
      <c r="C86" s="715" t="s">
        <v>178</v>
      </c>
      <c r="D86" s="741">
        <v>60</v>
      </c>
      <c r="E86" s="741">
        <v>5.3214563172103026E-2</v>
      </c>
      <c r="F86" s="741">
        <v>4.2384165954381561E-2</v>
      </c>
      <c r="G86" s="741">
        <v>4.8592047761198111E-2</v>
      </c>
      <c r="H86" s="741">
        <v>3.9608405880006317E-2</v>
      </c>
      <c r="I86" s="741">
        <v>4.4330754030221409E-2</v>
      </c>
      <c r="J86" s="741">
        <v>6.0327316392978697E-2</v>
      </c>
      <c r="K86" s="741">
        <v>4.3600828971783696E-2</v>
      </c>
      <c r="L86" s="741">
        <v>5.2800156198055462E-2</v>
      </c>
      <c r="M86" s="741">
        <v>3.995432955746725E-2</v>
      </c>
      <c r="N86" s="741">
        <v>4.6225832050378356E-2</v>
      </c>
      <c r="O86" s="741">
        <v>0.35556842371848962</v>
      </c>
      <c r="P86" s="741">
        <v>0.33887546314344508</v>
      </c>
      <c r="Q86" s="741">
        <v>0.33178331765260466</v>
      </c>
      <c r="R86" s="741">
        <v>0.31574418053276354</v>
      </c>
      <c r="S86" s="741">
        <v>0.32383076746757378</v>
      </c>
      <c r="T86" s="741">
        <v>0.28707265603661308</v>
      </c>
      <c r="U86" s="741">
        <v>0.2137248227249936</v>
      </c>
      <c r="V86" s="741">
        <v>0.245500957878488</v>
      </c>
      <c r="W86" s="741">
        <v>0.19874101286771687</v>
      </c>
      <c r="X86" s="741">
        <v>0.21854113640975903</v>
      </c>
    </row>
    <row r="87" spans="1:24" x14ac:dyDescent="0.25">
      <c r="A87" s="715" t="s">
        <v>573</v>
      </c>
      <c r="B87" s="715" t="s">
        <v>177</v>
      </c>
      <c r="C87" s="715" t="s">
        <v>178</v>
      </c>
      <c r="D87" s="741">
        <v>65</v>
      </c>
      <c r="E87" s="741">
        <v>5.2380130251098299E-2</v>
      </c>
      <c r="F87" s="741">
        <v>4.1512542360158028E-2</v>
      </c>
      <c r="G87" s="741">
        <v>4.7257418289032328E-2</v>
      </c>
      <c r="H87" s="741">
        <v>3.893199827806347E-2</v>
      </c>
      <c r="I87" s="741">
        <v>4.3394988463636618E-2</v>
      </c>
      <c r="J87" s="741">
        <v>5.9381351682691277E-2</v>
      </c>
      <c r="K87" s="741">
        <v>4.2704184897191889E-2</v>
      </c>
      <c r="L87" s="741">
        <v>5.1349946794591053E-2</v>
      </c>
      <c r="M87" s="741">
        <v>3.9272014487149239E-2</v>
      </c>
      <c r="N87" s="741">
        <v>4.5250063808539145E-2</v>
      </c>
      <c r="O87" s="741">
        <v>0.33987482560595911</v>
      </c>
      <c r="P87" s="741">
        <v>0.32390862909036727</v>
      </c>
      <c r="Q87" s="741">
        <v>0.31752697953519393</v>
      </c>
      <c r="R87" s="741">
        <v>0.3018013773413134</v>
      </c>
      <c r="S87" s="741">
        <v>0.30965597741853396</v>
      </c>
      <c r="T87" s="741">
        <v>0.27435097258225516</v>
      </c>
      <c r="U87" s="741">
        <v>0.20428456469350326</v>
      </c>
      <c r="V87" s="741">
        <v>0.23361539594821484</v>
      </c>
      <c r="W87" s="741">
        <v>0.18996418538283205</v>
      </c>
      <c r="X87" s="741">
        <v>0.20857457170652741</v>
      </c>
    </row>
    <row r="88" spans="1:24" x14ac:dyDescent="0.25">
      <c r="A88" s="715" t="s">
        <v>573</v>
      </c>
      <c r="B88" s="715" t="s">
        <v>177</v>
      </c>
      <c r="C88" s="715" t="s">
        <v>178</v>
      </c>
      <c r="D88" s="741">
        <v>70</v>
      </c>
      <c r="E88" s="741">
        <v>5.4229942534543427E-2</v>
      </c>
      <c r="F88" s="741">
        <v>4.2588815285309459E-2</v>
      </c>
      <c r="G88" s="741">
        <v>4.7948615007640874E-2</v>
      </c>
      <c r="H88" s="741">
        <v>3.9942879179743443E-2</v>
      </c>
      <c r="I88" s="741">
        <v>4.4381410267406246E-2</v>
      </c>
      <c r="J88" s="741">
        <v>6.1478413168098989E-2</v>
      </c>
      <c r="K88" s="741">
        <v>4.3811352885043682E-2</v>
      </c>
      <c r="L88" s="741">
        <v>5.2101001676769877E-2</v>
      </c>
      <c r="M88" s="741">
        <v>4.0291724010714264E-2</v>
      </c>
      <c r="N88" s="741">
        <v>4.6278653771182246E-2</v>
      </c>
      <c r="O88" s="741">
        <v>0.32670037898156629</v>
      </c>
      <c r="P88" s="741">
        <v>0.31134034885022288</v>
      </c>
      <c r="Q88" s="741">
        <v>0.30569458508561748</v>
      </c>
      <c r="R88" s="741">
        <v>0.29009338544689278</v>
      </c>
      <c r="S88" s="741">
        <v>0.29779734128076485</v>
      </c>
      <c r="T88" s="741">
        <v>0.26380780794494907</v>
      </c>
      <c r="U88" s="741">
        <v>0.19646067933754269</v>
      </c>
      <c r="V88" s="741">
        <v>0.22376336977844138</v>
      </c>
      <c r="W88" s="741">
        <v>0.18269043415636524</v>
      </c>
      <c r="X88" s="741">
        <v>0.20031418984894331</v>
      </c>
    </row>
    <row r="89" spans="1:24" x14ac:dyDescent="0.25">
      <c r="A89" s="715" t="s">
        <v>573</v>
      </c>
      <c r="B89" s="715" t="s">
        <v>177</v>
      </c>
      <c r="C89" s="715" t="s">
        <v>178</v>
      </c>
      <c r="D89" s="741">
        <v>75</v>
      </c>
      <c r="E89" s="741">
        <v>5.8281331447050291E-2</v>
      </c>
      <c r="F89" s="741">
        <v>4.550750117396471E-2</v>
      </c>
      <c r="G89" s="741">
        <v>5.0290652945022635E-2</v>
      </c>
      <c r="H89" s="741">
        <v>4.2681683994257952E-2</v>
      </c>
      <c r="I89" s="741">
        <v>4.7149953609065126E-2</v>
      </c>
      <c r="J89" s="741">
        <v>6.6071317933009951E-2</v>
      </c>
      <c r="K89" s="741">
        <v>4.6813821410449701E-2</v>
      </c>
      <c r="L89" s="741">
        <v>5.4645861887709035E-2</v>
      </c>
      <c r="M89" s="741">
        <v>4.3054448430480112E-2</v>
      </c>
      <c r="N89" s="741">
        <v>4.9165548486495923E-2</v>
      </c>
      <c r="O89" s="741">
        <v>0.31074317622242725</v>
      </c>
      <c r="P89" s="741">
        <v>0.29610792499092609</v>
      </c>
      <c r="Q89" s="741">
        <v>0.29159768135044617</v>
      </c>
      <c r="R89" s="741">
        <v>0.27590138898275562</v>
      </c>
      <c r="S89" s="741">
        <v>0.28350178549075306</v>
      </c>
      <c r="T89" s="741">
        <v>0.24967657792516662</v>
      </c>
      <c r="U89" s="741">
        <v>0.18594212851913577</v>
      </c>
      <c r="V89" s="741">
        <v>0.2116291380346309</v>
      </c>
      <c r="W89" s="741">
        <v>0.17290967321644327</v>
      </c>
      <c r="X89" s="741">
        <v>0.18954310177586794</v>
      </c>
    </row>
    <row r="90" spans="1:24" x14ac:dyDescent="0.25">
      <c r="A90" s="716" t="s">
        <v>573</v>
      </c>
      <c r="B90" s="716" t="s">
        <v>173</v>
      </c>
      <c r="C90" s="716" t="s">
        <v>575</v>
      </c>
      <c r="D90" s="745" t="s">
        <v>574</v>
      </c>
      <c r="E90" s="745">
        <v>1.8839391282498607E-3</v>
      </c>
      <c r="F90" s="745">
        <v>1.9200027417680292E-3</v>
      </c>
      <c r="G90" s="745">
        <v>1.8620277766679618E-3</v>
      </c>
      <c r="H90" s="745">
        <v>2.0847327247418713E-3</v>
      </c>
      <c r="I90" s="745">
        <v>1.9717038466033725E-3</v>
      </c>
      <c r="J90" s="745">
        <v>2.2605223907399023E-3</v>
      </c>
      <c r="K90" s="745">
        <v>2.2629584246164846E-3</v>
      </c>
      <c r="L90" s="745">
        <v>2.2050850658804559E-3</v>
      </c>
      <c r="M90" s="745">
        <v>2.4362339102221861E-3</v>
      </c>
      <c r="N90" s="745">
        <v>2.3212277569883604E-3</v>
      </c>
      <c r="O90" s="745">
        <v>1.1359848021244809E-2</v>
      </c>
      <c r="P90" s="745">
        <v>9.807185932646123E-3</v>
      </c>
      <c r="Q90" s="745">
        <v>1.0783312497258045E-2</v>
      </c>
      <c r="R90" s="745">
        <v>1.0481277105963549E-2</v>
      </c>
      <c r="S90" s="745">
        <v>1.0533039752728332E-2</v>
      </c>
      <c r="T90" s="745">
        <v>1.3363807669560548E-2</v>
      </c>
      <c r="U90" s="745">
        <v>1.3219659573249654E-2</v>
      </c>
      <c r="V90" s="745">
        <v>1.2732561789572099E-2</v>
      </c>
      <c r="W90" s="745">
        <v>1.5119832987554439E-2</v>
      </c>
      <c r="X90" s="745">
        <v>1.3918232752240372E-2</v>
      </c>
    </row>
    <row r="91" spans="1:24" x14ac:dyDescent="0.25">
      <c r="A91" s="716" t="s">
        <v>573</v>
      </c>
      <c r="B91" s="716" t="s">
        <v>173</v>
      </c>
      <c r="C91" s="716" t="s">
        <v>575</v>
      </c>
      <c r="D91" s="741">
        <v>2.5</v>
      </c>
      <c r="E91" s="741">
        <v>1.1753143230559851E-2</v>
      </c>
      <c r="F91" s="741">
        <v>1.1221714950057946E-2</v>
      </c>
      <c r="G91" s="741">
        <v>1.1333319799256893E-2</v>
      </c>
      <c r="H91" s="741">
        <v>1.0951887131064268E-2</v>
      </c>
      <c r="I91" s="741">
        <v>1.1453146361707521E-2</v>
      </c>
      <c r="J91" s="741">
        <v>1.4102160931619451E-2</v>
      </c>
      <c r="K91" s="741">
        <v>1.3226031630018984E-2</v>
      </c>
      <c r="L91" s="741">
        <v>1.3422791261772236E-2</v>
      </c>
      <c r="M91" s="741">
        <v>1.2799610046783918E-2</v>
      </c>
      <c r="N91" s="741">
        <v>1.3484073505582721E-2</v>
      </c>
      <c r="O91" s="741">
        <v>6.1552975949868652E-2</v>
      </c>
      <c r="P91" s="741">
        <v>5.8321086659718205E-2</v>
      </c>
      <c r="Q91" s="741">
        <v>6.0069266686634003E-2</v>
      </c>
      <c r="R91" s="741">
        <v>5.8700176370914812E-2</v>
      </c>
      <c r="S91" s="741">
        <v>6.2105036817694963E-2</v>
      </c>
      <c r="T91" s="741">
        <v>6.7402073181315497E-2</v>
      </c>
      <c r="U91" s="741">
        <v>6.3875651762001773E-2</v>
      </c>
      <c r="V91" s="741">
        <v>6.5507477207719197E-2</v>
      </c>
      <c r="W91" s="741">
        <v>5.9680567035611434E-2</v>
      </c>
      <c r="X91" s="741">
        <v>6.6835049258417795E-2</v>
      </c>
    </row>
    <row r="92" spans="1:24" x14ac:dyDescent="0.25">
      <c r="A92" s="716" t="s">
        <v>573</v>
      </c>
      <c r="B92" s="716" t="s">
        <v>173</v>
      </c>
      <c r="C92" s="716" t="s">
        <v>575</v>
      </c>
      <c r="D92" s="741">
        <v>5</v>
      </c>
      <c r="E92" s="741">
        <v>6.5156037463024443E-3</v>
      </c>
      <c r="F92" s="741">
        <v>6.3206912091473173E-3</v>
      </c>
      <c r="G92" s="741">
        <v>6.256741911906962E-3</v>
      </c>
      <c r="H92" s="741">
        <v>6.1687317387895341E-3</v>
      </c>
      <c r="I92" s="741">
        <v>6.4510697220453725E-3</v>
      </c>
      <c r="J92" s="741">
        <v>7.8178314340718556E-3</v>
      </c>
      <c r="K92" s="741">
        <v>7.44963334283711E-3</v>
      </c>
      <c r="L92" s="741">
        <v>7.410268319421774E-3</v>
      </c>
      <c r="M92" s="741">
        <v>7.2094753894758733E-3</v>
      </c>
      <c r="N92" s="741">
        <v>7.595004514438973E-3</v>
      </c>
      <c r="O92" s="741">
        <v>3.1756900658470297E-2</v>
      </c>
      <c r="P92" s="741">
        <v>2.9160543329859102E-2</v>
      </c>
      <c r="Q92" s="741">
        <v>3.1382382782161128E-2</v>
      </c>
      <c r="R92" s="741">
        <v>2.9350094802656029E-2</v>
      </c>
      <c r="S92" s="741">
        <v>3.1052525409871828E-2</v>
      </c>
      <c r="T92" s="741">
        <v>3.3863128697722844E-2</v>
      </c>
      <c r="U92" s="741">
        <v>3.193782139210366E-2</v>
      </c>
      <c r="V92" s="741">
        <v>3.3309394036623453E-2</v>
      </c>
      <c r="W92" s="741">
        <v>2.984032965254935E-2</v>
      </c>
      <c r="X92" s="741">
        <v>3.3417576294566938E-2</v>
      </c>
    </row>
    <row r="93" spans="1:24" x14ac:dyDescent="0.25">
      <c r="A93" s="716" t="s">
        <v>573</v>
      </c>
      <c r="B93" s="716" t="s">
        <v>173</v>
      </c>
      <c r="C93" s="716" t="s">
        <v>575</v>
      </c>
      <c r="D93" s="741">
        <v>10</v>
      </c>
      <c r="E93" s="741">
        <v>3.9156889776740447E-3</v>
      </c>
      <c r="F93" s="741">
        <v>3.8701552286617312E-3</v>
      </c>
      <c r="G93" s="741">
        <v>3.7274743712700309E-3</v>
      </c>
      <c r="H93" s="741">
        <v>3.7770985979424421E-3</v>
      </c>
      <c r="I93" s="741">
        <v>3.9499734198439667E-3</v>
      </c>
      <c r="J93" s="741">
        <v>4.6982900691407191E-3</v>
      </c>
      <c r="K93" s="741">
        <v>4.5614057829101318E-3</v>
      </c>
      <c r="L93" s="741">
        <v>4.4146914854060609E-3</v>
      </c>
      <c r="M93" s="741">
        <v>4.4143432618830771E-3</v>
      </c>
      <c r="N93" s="741">
        <v>4.6504017547832465E-3</v>
      </c>
      <c r="O93" s="741">
        <v>2.0918045497967774E-2</v>
      </c>
      <c r="P93" s="741">
        <v>1.4580265090466728E-2</v>
      </c>
      <c r="Q93" s="741">
        <v>2.0402115460287175E-2</v>
      </c>
      <c r="R93" s="741">
        <v>1.4675040784129394E-2</v>
      </c>
      <c r="S93" s="741">
        <v>1.5526255703911567E-2</v>
      </c>
      <c r="T93" s="741">
        <v>2.1772313935249477E-2</v>
      </c>
      <c r="U93" s="741">
        <v>2.0621293550499891E-2</v>
      </c>
      <c r="V93" s="741">
        <v>2.11917026334182E-2</v>
      </c>
      <c r="W93" s="741">
        <v>1.9266892296632261E-2</v>
      </c>
      <c r="X93" s="741">
        <v>2.1576599547616131E-2</v>
      </c>
    </row>
    <row r="94" spans="1:24" x14ac:dyDescent="0.25">
      <c r="A94" s="716" t="s">
        <v>573</v>
      </c>
      <c r="B94" s="716" t="s">
        <v>173</v>
      </c>
      <c r="C94" s="716" t="s">
        <v>575</v>
      </c>
      <c r="D94" s="741">
        <v>15</v>
      </c>
      <c r="E94" s="741">
        <v>3.099315288921886E-3</v>
      </c>
      <c r="F94" s="741">
        <v>3.0532963407853622E-3</v>
      </c>
      <c r="G94" s="741">
        <v>2.9473802215445708E-3</v>
      </c>
      <c r="H94" s="741">
        <v>2.9798862063998813E-3</v>
      </c>
      <c r="I94" s="741">
        <v>3.1162732463089833E-3</v>
      </c>
      <c r="J94" s="741">
        <v>3.7187535389308036E-3</v>
      </c>
      <c r="K94" s="741">
        <v>3.5986472797404183E-3</v>
      </c>
      <c r="L94" s="741">
        <v>3.4907750053486358E-3</v>
      </c>
      <c r="M94" s="741">
        <v>3.4826309812418864E-3</v>
      </c>
      <c r="N94" s="741">
        <v>3.6688658460876031E-3</v>
      </c>
      <c r="O94" s="741">
        <v>1.7387523406667504E-2</v>
      </c>
      <c r="P94" s="741">
        <v>9.7201657695397854E-3</v>
      </c>
      <c r="Q94" s="741">
        <v>1.6887285460135841E-2</v>
      </c>
      <c r="R94" s="741">
        <v>9.7833494940885637E-3</v>
      </c>
      <c r="S94" s="741">
        <v>1.0350825467567135E-2</v>
      </c>
      <c r="T94" s="741">
        <v>2.0241676353609881E-2</v>
      </c>
      <c r="U94" s="741">
        <v>1.9236738092648867E-2</v>
      </c>
      <c r="V94" s="741">
        <v>1.9532606489607959E-2</v>
      </c>
      <c r="W94" s="741">
        <v>1.7973274084961764E-2</v>
      </c>
      <c r="X94" s="741">
        <v>2.0127902908272977E-2</v>
      </c>
    </row>
    <row r="95" spans="1:24" x14ac:dyDescent="0.25">
      <c r="A95" s="716" t="s">
        <v>573</v>
      </c>
      <c r="B95" s="716" t="s">
        <v>173</v>
      </c>
      <c r="C95" s="716" t="s">
        <v>575</v>
      </c>
      <c r="D95" s="741">
        <v>20</v>
      </c>
      <c r="E95" s="741">
        <v>2.58673351864608E-3</v>
      </c>
      <c r="F95" s="741">
        <v>2.6279296816229714E-3</v>
      </c>
      <c r="G95" s="741">
        <v>2.4691449902992072E-3</v>
      </c>
      <c r="H95" s="741">
        <v>2.5647540663261753E-3</v>
      </c>
      <c r="I95" s="741">
        <v>2.6821408358107947E-3</v>
      </c>
      <c r="J95" s="741">
        <v>3.1037256716409164E-3</v>
      </c>
      <c r="K95" s="741">
        <v>3.0973056476035024E-3</v>
      </c>
      <c r="L95" s="741">
        <v>2.9243697686894897E-3</v>
      </c>
      <c r="M95" s="741">
        <v>2.9974607592297498E-3</v>
      </c>
      <c r="N95" s="741">
        <v>3.1577509830238398E-3</v>
      </c>
      <c r="O95" s="741">
        <v>1.5362335916624335E-2</v>
      </c>
      <c r="P95" s="741">
        <v>1.0079038082164328E-2</v>
      </c>
      <c r="Q95" s="741">
        <v>1.4959338100311201E-2</v>
      </c>
      <c r="R95" s="741">
        <v>1.0144537369758755E-2</v>
      </c>
      <c r="S95" s="741">
        <v>1.0732963779637299E-2</v>
      </c>
      <c r="T95" s="741">
        <v>1.8406915438601637E-2</v>
      </c>
      <c r="U95" s="741">
        <v>1.7488770493841083E-2</v>
      </c>
      <c r="V95" s="741">
        <v>1.7773380580732818E-2</v>
      </c>
      <c r="W95" s="741">
        <v>1.6340112548234788E-2</v>
      </c>
      <c r="X95" s="741">
        <v>1.8298958627482726E-2</v>
      </c>
    </row>
    <row r="96" spans="1:24" x14ac:dyDescent="0.25">
      <c r="A96" s="716" t="s">
        <v>573</v>
      </c>
      <c r="B96" s="716" t="s">
        <v>173</v>
      </c>
      <c r="C96" s="716" t="s">
        <v>575</v>
      </c>
      <c r="D96" s="741">
        <v>25</v>
      </c>
      <c r="E96" s="741">
        <v>2.3068456934043978E-3</v>
      </c>
      <c r="F96" s="741">
        <v>2.3385709449116432E-3</v>
      </c>
      <c r="G96" s="741">
        <v>2.2036469998902943E-3</v>
      </c>
      <c r="H96" s="741">
        <v>2.2823281666844485E-3</v>
      </c>
      <c r="I96" s="741">
        <v>2.3867885256359835E-3</v>
      </c>
      <c r="J96" s="741">
        <v>2.7678986441869867E-3</v>
      </c>
      <c r="K96" s="741">
        <v>2.7562643877605407E-3</v>
      </c>
      <c r="L96" s="741">
        <v>2.6099231485638918E-3</v>
      </c>
      <c r="M96" s="741">
        <v>2.6673860114474514E-3</v>
      </c>
      <c r="N96" s="741">
        <v>2.810025376918246E-3</v>
      </c>
      <c r="O96" s="741">
        <v>1.4075944580017633E-2</v>
      </c>
      <c r="P96" s="741">
        <v>1.0294359628889464E-2</v>
      </c>
      <c r="Q96" s="741">
        <v>1.3778511563169364E-2</v>
      </c>
      <c r="R96" s="741">
        <v>1.0361290327728475E-2</v>
      </c>
      <c r="S96" s="741">
        <v>1.0962289333107418E-2</v>
      </c>
      <c r="T96" s="741">
        <v>1.7299632930355597E-2</v>
      </c>
      <c r="U96" s="741">
        <v>1.6420709223226616E-2</v>
      </c>
      <c r="V96" s="741">
        <v>1.6745342238232454E-2</v>
      </c>
      <c r="W96" s="741">
        <v>1.5342285148379466E-2</v>
      </c>
      <c r="X96" s="741">
        <v>1.7181512082765152E-2</v>
      </c>
    </row>
    <row r="97" spans="1:24" x14ac:dyDescent="0.25">
      <c r="A97" s="716" t="s">
        <v>573</v>
      </c>
      <c r="B97" s="716" t="s">
        <v>173</v>
      </c>
      <c r="C97" s="716" t="s">
        <v>575</v>
      </c>
      <c r="D97" s="741">
        <v>30</v>
      </c>
      <c r="E97" s="741">
        <v>2.1311881603219064E-3</v>
      </c>
      <c r="F97" s="741">
        <v>2.0912839273781506E-3</v>
      </c>
      <c r="G97" s="741">
        <v>2.0508268359713017E-3</v>
      </c>
      <c r="H97" s="741">
        <v>2.0410179994288483E-3</v>
      </c>
      <c r="I97" s="741">
        <v>2.1344337824696401E-3</v>
      </c>
      <c r="J97" s="741">
        <v>2.5571336809948756E-3</v>
      </c>
      <c r="K97" s="741">
        <v>2.4648093000001672E-3</v>
      </c>
      <c r="L97" s="741">
        <v>2.4289282417574191E-3</v>
      </c>
      <c r="M97" s="741">
        <v>2.3853637440306268E-3</v>
      </c>
      <c r="N97" s="741">
        <v>2.5129218737521414E-3</v>
      </c>
      <c r="O97" s="741">
        <v>1.3756267159059733E-2</v>
      </c>
      <c r="P97" s="741">
        <v>1.0437915654359128E-2</v>
      </c>
      <c r="Q97" s="741">
        <v>1.3520237136144919E-2</v>
      </c>
      <c r="R97" s="741">
        <v>1.0505754361102871E-2</v>
      </c>
      <c r="S97" s="741">
        <v>1.1115132896214585E-2</v>
      </c>
      <c r="T97" s="741">
        <v>1.7011893602167334E-2</v>
      </c>
      <c r="U97" s="741">
        <v>1.6134928070754083E-2</v>
      </c>
      <c r="V97" s="741">
        <v>1.6499645119737515E-2</v>
      </c>
      <c r="W97" s="741">
        <v>1.5075190147108475E-2</v>
      </c>
      <c r="X97" s="741">
        <v>1.6882397840838264E-2</v>
      </c>
    </row>
    <row r="98" spans="1:24" x14ac:dyDescent="0.25">
      <c r="A98" s="716" t="s">
        <v>573</v>
      </c>
      <c r="B98" s="716" t="s">
        <v>173</v>
      </c>
      <c r="C98" s="716" t="s">
        <v>575</v>
      </c>
      <c r="D98" s="741">
        <v>35</v>
      </c>
      <c r="E98" s="741">
        <v>2.0593911792804787E-3</v>
      </c>
      <c r="F98" s="741">
        <v>1.9783027046795516E-3</v>
      </c>
      <c r="G98" s="741">
        <v>2.0050274969771165E-3</v>
      </c>
      <c r="H98" s="741">
        <v>1.9244062667367026E-3</v>
      </c>
      <c r="I98" s="741">
        <v>2.0124848228033915E-3</v>
      </c>
      <c r="J98" s="741">
        <v>2.4709871446012737E-3</v>
      </c>
      <c r="K98" s="741">
        <v>2.3316484389677653E-3</v>
      </c>
      <c r="L98" s="741">
        <v>2.3746850916359164E-3</v>
      </c>
      <c r="M98" s="741">
        <v>2.2490781260839574E-3</v>
      </c>
      <c r="N98" s="741">
        <v>2.3693483364779807E-3</v>
      </c>
      <c r="O98" s="741">
        <v>1.1587294858678128E-2</v>
      </c>
      <c r="P98" s="741">
        <v>1.0049504280282302E-2</v>
      </c>
      <c r="Q98" s="741">
        <v>1.1567689443659476E-2</v>
      </c>
      <c r="R98" s="741">
        <v>1.0114787768206665E-2</v>
      </c>
      <c r="S98" s="741">
        <v>1.0701488574383576E-2</v>
      </c>
      <c r="T98" s="741">
        <v>1.4251094425987269E-2</v>
      </c>
      <c r="U98" s="741">
        <v>1.3458900723318734E-2</v>
      </c>
      <c r="V98" s="741">
        <v>1.3971428622198936E-2</v>
      </c>
      <c r="W98" s="741">
        <v>1.2574922748410329E-2</v>
      </c>
      <c r="X98" s="741">
        <v>1.4082399398271611E-2</v>
      </c>
    </row>
    <row r="99" spans="1:24" x14ac:dyDescent="0.25">
      <c r="A99" s="716" t="s">
        <v>573</v>
      </c>
      <c r="B99" s="716" t="s">
        <v>173</v>
      </c>
      <c r="C99" s="716" t="s">
        <v>575</v>
      </c>
      <c r="D99" s="741">
        <v>40</v>
      </c>
      <c r="E99" s="741">
        <v>2.0087568717050441E-3</v>
      </c>
      <c r="F99" s="741">
        <v>1.9087664598578284E-3</v>
      </c>
      <c r="G99" s="741">
        <v>1.9701985681306452E-3</v>
      </c>
      <c r="H99" s="741">
        <v>1.8503624274443305E-3</v>
      </c>
      <c r="I99" s="741">
        <v>1.9350520554227912E-3</v>
      </c>
      <c r="J99" s="741">
        <v>2.4102329157041679E-3</v>
      </c>
      <c r="K99" s="741">
        <v>2.2496922872086173E-3</v>
      </c>
      <c r="L99" s="741">
        <v>2.3334349151600039E-3</v>
      </c>
      <c r="M99" s="741">
        <v>2.1625421475838752E-3</v>
      </c>
      <c r="N99" s="741">
        <v>2.2781848173779734E-3</v>
      </c>
      <c r="O99" s="741">
        <v>1.1194051337237389E-2</v>
      </c>
      <c r="P99" s="741">
        <v>9.7581595901791683E-3</v>
      </c>
      <c r="Q99" s="741">
        <v>1.1281970452172285E-2</v>
      </c>
      <c r="R99" s="741">
        <v>9.8216207240224285E-3</v>
      </c>
      <c r="S99" s="741">
        <v>1.0391316591973345E-2</v>
      </c>
      <c r="T99" s="741">
        <v>1.3973435071218706E-2</v>
      </c>
      <c r="U99" s="741">
        <v>1.3171495487832811E-2</v>
      </c>
      <c r="V99" s="741">
        <v>1.376435016871708E-2</v>
      </c>
      <c r="W99" s="741">
        <v>1.2306396731272972E-2</v>
      </c>
      <c r="X99" s="741">
        <v>1.3781682590875444E-2</v>
      </c>
    </row>
    <row r="100" spans="1:24" x14ac:dyDescent="0.25">
      <c r="A100" s="716" t="s">
        <v>573</v>
      </c>
      <c r="B100" s="716" t="s">
        <v>173</v>
      </c>
      <c r="C100" s="716" t="s">
        <v>575</v>
      </c>
      <c r="D100" s="741">
        <v>45</v>
      </c>
      <c r="E100" s="741">
        <v>1.9677293923512813E-3</v>
      </c>
      <c r="F100" s="741">
        <v>1.8546759108497581E-3</v>
      </c>
      <c r="G100" s="741">
        <v>1.9376517228621819E-3</v>
      </c>
      <c r="H100" s="741">
        <v>1.7962088438833689E-3</v>
      </c>
      <c r="I100" s="741">
        <v>1.8784199050808274E-3</v>
      </c>
      <c r="J100" s="741">
        <v>2.3610055639127704E-3</v>
      </c>
      <c r="K100" s="741">
        <v>2.1859405954886158E-3</v>
      </c>
      <c r="L100" s="741">
        <v>2.2948875593978885E-3</v>
      </c>
      <c r="M100" s="741">
        <v>2.0992521644128312E-3</v>
      </c>
      <c r="N100" s="741">
        <v>2.2115103810376349E-3</v>
      </c>
      <c r="O100" s="741">
        <v>1.088615711914083E-2</v>
      </c>
      <c r="P100" s="741">
        <v>9.5315641546095242E-3</v>
      </c>
      <c r="Q100" s="741">
        <v>1.1046618990335702E-2</v>
      </c>
      <c r="R100" s="741">
        <v>9.593565590811157E-3</v>
      </c>
      <c r="S100" s="741">
        <v>1.0150033288920647E-2</v>
      </c>
      <c r="T100" s="741">
        <v>1.3759822888328825E-2</v>
      </c>
      <c r="U100" s="741">
        <v>1.2947992397580269E-2</v>
      </c>
      <c r="V100" s="741">
        <v>1.3611355679638766E-2</v>
      </c>
      <c r="W100" s="741">
        <v>1.2097576621727689E-2</v>
      </c>
      <c r="X100" s="741">
        <v>1.3547829211109809E-2</v>
      </c>
    </row>
    <row r="101" spans="1:24" x14ac:dyDescent="0.25">
      <c r="A101" s="716" t="s">
        <v>573</v>
      </c>
      <c r="B101" s="716" t="s">
        <v>173</v>
      </c>
      <c r="C101" s="716" t="s">
        <v>575</v>
      </c>
      <c r="D101" s="741">
        <v>50</v>
      </c>
      <c r="E101" s="741">
        <v>1.9135293568246219E-3</v>
      </c>
      <c r="F101" s="741">
        <v>1.8145604673719044E-3</v>
      </c>
      <c r="G101" s="741">
        <v>1.8851023873363176E-3</v>
      </c>
      <c r="H101" s="741">
        <v>1.7587361294824297E-3</v>
      </c>
      <c r="I101" s="741">
        <v>1.8392320941156208E-3</v>
      </c>
      <c r="J101" s="741">
        <v>2.2959729502108409E-3</v>
      </c>
      <c r="K101" s="741">
        <v>2.1386601105848717E-3</v>
      </c>
      <c r="L101" s="741">
        <v>2.2326499472769671E-3</v>
      </c>
      <c r="M101" s="741">
        <v>2.0554573255885636E-3</v>
      </c>
      <c r="N101" s="741">
        <v>2.1653735984549535E-3</v>
      </c>
      <c r="O101" s="741">
        <v>1.0656994993821169E-2</v>
      </c>
      <c r="P101" s="741">
        <v>1.1133083574282785E-2</v>
      </c>
      <c r="Q101" s="741">
        <v>1.0863392753239522E-2</v>
      </c>
      <c r="R101" s="741">
        <v>1.1205479441569818E-2</v>
      </c>
      <c r="S101" s="741">
        <v>1.1855445014019333E-2</v>
      </c>
      <c r="T101" s="741">
        <v>1.3147789801789675E-2</v>
      </c>
      <c r="U101" s="741">
        <v>1.2346218916580125E-2</v>
      </c>
      <c r="V101" s="741">
        <v>1.3072702971791954E-2</v>
      </c>
      <c r="W101" s="741">
        <v>1.1535320757595589E-2</v>
      </c>
      <c r="X101" s="741">
        <v>1.2918170341537071E-2</v>
      </c>
    </row>
    <row r="102" spans="1:24" x14ac:dyDescent="0.25">
      <c r="A102" s="716" t="s">
        <v>573</v>
      </c>
      <c r="B102" s="716" t="s">
        <v>173</v>
      </c>
      <c r="C102" s="716" t="s">
        <v>575</v>
      </c>
      <c r="D102" s="741">
        <v>55</v>
      </c>
      <c r="E102" s="741">
        <v>1.863571182844956E-3</v>
      </c>
      <c r="F102" s="741">
        <v>1.7943149710442686E-3</v>
      </c>
      <c r="G102" s="741">
        <v>1.8353006316289048E-3</v>
      </c>
      <c r="H102" s="741">
        <v>1.7368760837747465E-3</v>
      </c>
      <c r="I102" s="741">
        <v>1.8163715313680774E-3</v>
      </c>
      <c r="J102" s="741">
        <v>2.2360299889543798E-3</v>
      </c>
      <c r="K102" s="741">
        <v>2.1147985550217124E-3</v>
      </c>
      <c r="L102" s="741">
        <v>2.1736664734872124E-3</v>
      </c>
      <c r="M102" s="741">
        <v>2.0299092116137962E-3</v>
      </c>
      <c r="N102" s="741">
        <v>2.1384592904795064E-3</v>
      </c>
      <c r="O102" s="741">
        <v>1.046786365258452E-2</v>
      </c>
      <c r="P102" s="741">
        <v>1.2443395052679579E-2</v>
      </c>
      <c r="Q102" s="741">
        <v>1.0707779134436079E-2</v>
      </c>
      <c r="R102" s="741">
        <v>1.2524305654527668E-2</v>
      </c>
      <c r="S102" s="741">
        <v>1.3250768768999936E-2</v>
      </c>
      <c r="T102" s="741">
        <v>1.2432313631380544E-2</v>
      </c>
      <c r="U102" s="741">
        <v>1.1651629405587456E-2</v>
      </c>
      <c r="V102" s="741">
        <v>1.2420585819725036E-2</v>
      </c>
      <c r="W102" s="741">
        <v>1.0886266986778866E-2</v>
      </c>
      <c r="X102" s="741">
        <v>1.2191308267354482E-2</v>
      </c>
    </row>
    <row r="103" spans="1:24" x14ac:dyDescent="0.25">
      <c r="A103" s="716" t="s">
        <v>573</v>
      </c>
      <c r="B103" s="716" t="s">
        <v>173</v>
      </c>
      <c r="C103" s="716" t="s">
        <v>575</v>
      </c>
      <c r="D103" s="741">
        <v>60</v>
      </c>
      <c r="E103" s="741">
        <v>1.8342821187333478E-3</v>
      </c>
      <c r="F103" s="741">
        <v>1.7774437848861607E-3</v>
      </c>
      <c r="G103" s="741">
        <v>1.8015233943402369E-3</v>
      </c>
      <c r="H103" s="741">
        <v>1.7291734610909251E-3</v>
      </c>
      <c r="I103" s="741">
        <v>1.8083163657230089E-3</v>
      </c>
      <c r="J103" s="741">
        <v>2.200887126527207E-3</v>
      </c>
      <c r="K103" s="741">
        <v>2.0949139970235678E-3</v>
      </c>
      <c r="L103" s="741">
        <v>2.1336618840504203E-3</v>
      </c>
      <c r="M103" s="741">
        <v>2.0209070583309362E-3</v>
      </c>
      <c r="N103" s="741">
        <v>2.1289757440174713E-3</v>
      </c>
      <c r="O103" s="741">
        <v>1.0376211730904524E-2</v>
      </c>
      <c r="P103" s="741">
        <v>1.2443038716794709E-2</v>
      </c>
      <c r="Q103" s="741">
        <v>1.0619676649827103E-2</v>
      </c>
      <c r="R103" s="741">
        <v>1.25239020054119E-2</v>
      </c>
      <c r="S103" s="741">
        <v>1.3250341706514845E-2</v>
      </c>
      <c r="T103" s="741">
        <v>1.2337724578217059E-2</v>
      </c>
      <c r="U103" s="741">
        <v>1.1560083733507564E-2</v>
      </c>
      <c r="V103" s="741">
        <v>1.2333198477705887E-2</v>
      </c>
      <c r="W103" s="741">
        <v>1.0800908484095813E-2</v>
      </c>
      <c r="X103" s="741">
        <v>1.2095717021915371E-2</v>
      </c>
    </row>
    <row r="104" spans="1:24" x14ac:dyDescent="0.25">
      <c r="A104" s="716" t="s">
        <v>573</v>
      </c>
      <c r="B104" s="716" t="s">
        <v>173</v>
      </c>
      <c r="C104" s="716" t="s">
        <v>575</v>
      </c>
      <c r="D104" s="741">
        <v>65</v>
      </c>
      <c r="E104" s="741">
        <v>1.8590868653022251E-3</v>
      </c>
      <c r="F104" s="741">
        <v>1.7833141923074146E-3</v>
      </c>
      <c r="G104" s="741">
        <v>1.8163583023357694E-3</v>
      </c>
      <c r="H104" s="741">
        <v>1.7404364883515046E-3</v>
      </c>
      <c r="I104" s="741">
        <v>1.8200948928524046E-3</v>
      </c>
      <c r="J104" s="741">
        <v>2.2306494225462679E-3</v>
      </c>
      <c r="K104" s="741">
        <v>2.101832921143468E-3</v>
      </c>
      <c r="L104" s="741">
        <v>2.1512318350390687E-3</v>
      </c>
      <c r="M104" s="741">
        <v>2.0340703018118527E-3</v>
      </c>
      <c r="N104" s="741">
        <v>2.1428428963775666E-3</v>
      </c>
      <c r="O104" s="741">
        <v>1.1096254093337306E-2</v>
      </c>
      <c r="P104" s="741">
        <v>1.334422926323026E-2</v>
      </c>
      <c r="Q104" s="741">
        <v>1.1281174574600056E-2</v>
      </c>
      <c r="R104" s="741">
        <v>1.3430983621809334E-2</v>
      </c>
      <c r="S104" s="741">
        <v>1.4210037923218717E-2</v>
      </c>
      <c r="T104" s="741">
        <v>1.3108999716966678E-2</v>
      </c>
      <c r="U104" s="741">
        <v>1.2306010068641614E-2</v>
      </c>
      <c r="V104" s="741">
        <v>1.3044006239160773E-2</v>
      </c>
      <c r="W104" s="741">
        <v>1.1497838375421749E-2</v>
      </c>
      <c r="X104" s="741">
        <v>1.2876194586557789E-2</v>
      </c>
    </row>
    <row r="105" spans="1:24" x14ac:dyDescent="0.25">
      <c r="A105" s="716" t="s">
        <v>573</v>
      </c>
      <c r="B105" s="716" t="s">
        <v>173</v>
      </c>
      <c r="C105" s="716" t="s">
        <v>575</v>
      </c>
      <c r="D105" s="741">
        <v>70</v>
      </c>
      <c r="E105" s="741">
        <v>1.9276165777138987E-3</v>
      </c>
      <c r="F105" s="741">
        <v>1.8394311994901409E-3</v>
      </c>
      <c r="G105" s="741">
        <v>1.8705707322593463E-3</v>
      </c>
      <c r="H105" s="741">
        <v>1.7952043929687284E-3</v>
      </c>
      <c r="I105" s="741">
        <v>1.8773694812405472E-3</v>
      </c>
      <c r="J105" s="741">
        <v>2.3128756844124723E-3</v>
      </c>
      <c r="K105" s="741">
        <v>2.1679730178473951E-3</v>
      </c>
      <c r="L105" s="741">
        <v>2.2154391585371088E-3</v>
      </c>
      <c r="M105" s="741">
        <v>2.0980782498294655E-3</v>
      </c>
      <c r="N105" s="741">
        <v>2.2102736909764904E-3</v>
      </c>
      <c r="O105" s="741">
        <v>1.1775390846714653E-2</v>
      </c>
      <c r="P105" s="741">
        <v>1.419659127429832E-2</v>
      </c>
      <c r="Q105" s="741">
        <v>1.1900610422527927E-2</v>
      </c>
      <c r="R105" s="741">
        <v>1.4288859749274576E-2</v>
      </c>
      <c r="S105" s="741">
        <v>1.5117674522887424E-2</v>
      </c>
      <c r="T105" s="741">
        <v>1.3770105756696396E-2</v>
      </c>
      <c r="U105" s="741">
        <v>1.2945504650742177E-2</v>
      </c>
      <c r="V105" s="741">
        <v>1.3653290415705224E-2</v>
      </c>
      <c r="W105" s="741">
        <v>1.2095244720140058E-2</v>
      </c>
      <c r="X105" s="741">
        <v>1.3545217762103602E-2</v>
      </c>
    </row>
    <row r="106" spans="1:24" x14ac:dyDescent="0.25">
      <c r="A106" s="716" t="s">
        <v>573</v>
      </c>
      <c r="B106" s="716" t="s">
        <v>173</v>
      </c>
      <c r="C106" s="716" t="s">
        <v>575</v>
      </c>
      <c r="D106" s="741">
        <v>75</v>
      </c>
      <c r="E106" s="741">
        <v>2.030421507157684E-3</v>
      </c>
      <c r="F106" s="741">
        <v>1.9396629166175436E-3</v>
      </c>
      <c r="G106" s="741">
        <v>1.9553188244620448E-3</v>
      </c>
      <c r="H106" s="741">
        <v>1.8930302953278316E-3</v>
      </c>
      <c r="I106" s="741">
        <v>1.9796727979453864E-3</v>
      </c>
      <c r="J106" s="741">
        <v>2.4362275087832013E-3</v>
      </c>
      <c r="K106" s="741">
        <v>2.2861071771054062E-3</v>
      </c>
      <c r="L106" s="741">
        <v>2.3158118623537644E-3</v>
      </c>
      <c r="M106" s="741">
        <v>2.2124086284835412E-3</v>
      </c>
      <c r="N106" s="741">
        <v>2.3307179251412669E-3</v>
      </c>
      <c r="O106" s="741">
        <v>1.1769311244104566E-2</v>
      </c>
      <c r="P106" s="741">
        <v>1.4193858927550139E-2</v>
      </c>
      <c r="Q106" s="741">
        <v>1.1885305897633041E-2</v>
      </c>
      <c r="R106" s="741">
        <v>1.4286079202414797E-2</v>
      </c>
      <c r="S106" s="741">
        <v>1.5114732692457326E-2</v>
      </c>
      <c r="T106" s="741">
        <v>1.3371891558228762E-2</v>
      </c>
      <c r="U106" s="741">
        <v>1.2564243756668094E-2</v>
      </c>
      <c r="V106" s="741">
        <v>1.3275961326437907E-2</v>
      </c>
      <c r="W106" s="741">
        <v>1.173902829873202E-2</v>
      </c>
      <c r="X106" s="741">
        <v>1.3146298260262115E-2</v>
      </c>
    </row>
    <row r="107" spans="1:24" x14ac:dyDescent="0.25">
      <c r="A107" s="718" t="s">
        <v>573</v>
      </c>
      <c r="B107" s="718" t="s">
        <v>576</v>
      </c>
      <c r="C107" s="718" t="s">
        <v>577</v>
      </c>
      <c r="D107" s="745" t="s">
        <v>574</v>
      </c>
      <c r="E107" s="745">
        <v>2.4637085555488789</v>
      </c>
      <c r="F107" s="745">
        <v>1.6115910672634997</v>
      </c>
      <c r="G107" s="745">
        <v>2.2815725079013816</v>
      </c>
      <c r="H107" s="745">
        <v>1.8181009858786206</v>
      </c>
      <c r="I107" s="745">
        <v>1.9793621561003352</v>
      </c>
      <c r="J107" s="745">
        <v>3.0642622111545048</v>
      </c>
      <c r="K107" s="745">
        <v>1.890083589394973</v>
      </c>
      <c r="L107" s="745">
        <v>2.7710133790489793</v>
      </c>
      <c r="M107" s="745">
        <v>2.091851390182589</v>
      </c>
      <c r="N107" s="745">
        <v>2.3473601951617966</v>
      </c>
      <c r="O107" s="745">
        <v>0.92877185487542946</v>
      </c>
      <c r="P107" s="745">
        <v>1.0003518305100445</v>
      </c>
      <c r="Q107" s="745">
        <v>1.0388905261783452</v>
      </c>
      <c r="R107" s="745">
        <v>1.070747585339821</v>
      </c>
      <c r="S107" s="745">
        <v>1.0373320170337645</v>
      </c>
      <c r="T107" s="745">
        <v>0.48108929554713475</v>
      </c>
      <c r="U107" s="745">
        <v>0.6284647027520337</v>
      </c>
      <c r="V107" s="745">
        <v>0.55702015130998828</v>
      </c>
      <c r="W107" s="745">
        <v>0.74234424005603805</v>
      </c>
      <c r="X107" s="745">
        <v>0.64443811777654003</v>
      </c>
    </row>
    <row r="108" spans="1:24" x14ac:dyDescent="0.25">
      <c r="A108" s="718" t="s">
        <v>573</v>
      </c>
      <c r="B108" s="718" t="s">
        <v>576</v>
      </c>
      <c r="C108" s="718" t="s">
        <v>577</v>
      </c>
      <c r="D108" s="741">
        <v>2.5</v>
      </c>
      <c r="E108" s="741">
        <v>12.653578841674824</v>
      </c>
      <c r="F108" s="741">
        <v>7.8769001974109996</v>
      </c>
      <c r="G108" s="741">
        <v>12.607680136773203</v>
      </c>
      <c r="H108" s="741">
        <v>7.5245701000697025</v>
      </c>
      <c r="I108" s="741">
        <v>9.4329441743184272</v>
      </c>
      <c r="J108" s="741">
        <v>15.73651352857641</v>
      </c>
      <c r="K108" s="741">
        <v>9.2378630875394521</v>
      </c>
      <c r="L108" s="741">
        <v>15.314202172122915</v>
      </c>
      <c r="M108" s="741">
        <v>8.6580064701200481</v>
      </c>
      <c r="N108" s="741">
        <v>11.187755934981496</v>
      </c>
      <c r="O108" s="741">
        <v>9.2004648413154904</v>
      </c>
      <c r="P108" s="741">
        <v>7.7197572712121083</v>
      </c>
      <c r="Q108" s="741">
        <v>9.4703421841476434</v>
      </c>
      <c r="R108" s="741">
        <v>6.5778887730798923</v>
      </c>
      <c r="S108" s="741">
        <v>7.8471815032023979</v>
      </c>
      <c r="T108" s="741">
        <v>4.7655521642765049</v>
      </c>
      <c r="U108" s="741">
        <v>4.85012321070709</v>
      </c>
      <c r="V108" s="741">
        <v>5.0800093353655207</v>
      </c>
      <c r="W108" s="741">
        <v>4.5613517680230524</v>
      </c>
      <c r="X108" s="741">
        <v>4.8759734570417619</v>
      </c>
    </row>
    <row r="109" spans="1:24" x14ac:dyDescent="0.25">
      <c r="A109" s="718" t="s">
        <v>573</v>
      </c>
      <c r="B109" s="718" t="s">
        <v>576</v>
      </c>
      <c r="C109" s="718" t="s">
        <v>577</v>
      </c>
      <c r="D109" s="741">
        <v>5</v>
      </c>
      <c r="E109" s="741">
        <v>7.2996403012612241</v>
      </c>
      <c r="F109" s="741">
        <v>4.7289387943825343</v>
      </c>
      <c r="G109" s="741">
        <v>7.273162097721519</v>
      </c>
      <c r="H109" s="741">
        <v>4.5174155524994557</v>
      </c>
      <c r="I109" s="741">
        <v>5.6631180455785071</v>
      </c>
      <c r="J109" s="741">
        <v>9.0781343200873099</v>
      </c>
      <c r="K109" s="741">
        <v>5.5460000808717025</v>
      </c>
      <c r="L109" s="741">
        <v>8.8345098849911121</v>
      </c>
      <c r="M109" s="741">
        <v>5.1978800863851227</v>
      </c>
      <c r="N109" s="741">
        <v>6.7166285895569411</v>
      </c>
      <c r="O109" s="741">
        <v>4.6002324736799425</v>
      </c>
      <c r="P109" s="741">
        <v>3.8598786356060542</v>
      </c>
      <c r="Q109" s="741">
        <v>4.7351711466513198</v>
      </c>
      <c r="R109" s="741">
        <v>3.2889443865399461</v>
      </c>
      <c r="S109" s="741">
        <v>3.923590751601199</v>
      </c>
      <c r="T109" s="741">
        <v>2.3827761096020872</v>
      </c>
      <c r="U109" s="741">
        <v>2.425061605353545</v>
      </c>
      <c r="V109" s="741">
        <v>2.5400046969588095</v>
      </c>
      <c r="W109" s="741">
        <v>2.2806758840115262</v>
      </c>
      <c r="X109" s="741">
        <v>2.4379867285208809</v>
      </c>
    </row>
    <row r="110" spans="1:24" x14ac:dyDescent="0.25">
      <c r="A110" s="718" t="s">
        <v>573</v>
      </c>
      <c r="B110" s="718" t="s">
        <v>576</v>
      </c>
      <c r="C110" s="718" t="s">
        <v>577</v>
      </c>
      <c r="D110" s="741">
        <v>10</v>
      </c>
      <c r="E110" s="741">
        <v>4.6016609065722411</v>
      </c>
      <c r="F110" s="741">
        <v>3.1681813288560634</v>
      </c>
      <c r="G110" s="741">
        <v>4.5849691643662771</v>
      </c>
      <c r="H110" s="741">
        <v>3.0264700454812115</v>
      </c>
      <c r="I110" s="741">
        <v>3.7940404042493761</v>
      </c>
      <c r="J110" s="741">
        <v>5.7228156568399404</v>
      </c>
      <c r="K110" s="741">
        <v>3.7155765109339263</v>
      </c>
      <c r="L110" s="741">
        <v>5.5692358922761676</v>
      </c>
      <c r="M110" s="741">
        <v>3.4823514017309929</v>
      </c>
      <c r="N110" s="741">
        <v>4.4998462055742552</v>
      </c>
      <c r="O110" s="741">
        <v>2.6848826362505185</v>
      </c>
      <c r="P110" s="741">
        <v>2.2527598058490574</v>
      </c>
      <c r="Q110" s="741">
        <v>2.7636383300317342</v>
      </c>
      <c r="R110" s="741">
        <v>1.9195426636793025</v>
      </c>
      <c r="S110" s="741">
        <v>2.2899444190478917</v>
      </c>
      <c r="T110" s="741">
        <v>1.3906849793670464</v>
      </c>
      <c r="U110" s="741">
        <v>1.4153505400022708</v>
      </c>
      <c r="V110" s="741">
        <v>1.4824499730997589</v>
      </c>
      <c r="W110" s="741">
        <v>1.3310819967954057</v>
      </c>
      <c r="X110" s="741">
        <v>1.4228940927161893</v>
      </c>
    </row>
    <row r="111" spans="1:24" x14ac:dyDescent="0.25">
      <c r="A111" s="718" t="s">
        <v>573</v>
      </c>
      <c r="B111" s="718" t="s">
        <v>576</v>
      </c>
      <c r="C111" s="718" t="s">
        <v>577</v>
      </c>
      <c r="D111" s="741">
        <v>15</v>
      </c>
      <c r="E111" s="741">
        <v>3.7229524246244963</v>
      </c>
      <c r="F111" s="741">
        <v>2.6596851151136836</v>
      </c>
      <c r="G111" s="741">
        <v>3.7094480479703731</v>
      </c>
      <c r="H111" s="741">
        <v>2.5407186318499737</v>
      </c>
      <c r="I111" s="741">
        <v>3.1850931944496725</v>
      </c>
      <c r="J111" s="741">
        <v>4.6300174780114043</v>
      </c>
      <c r="K111" s="741">
        <v>3.1192228330457308</v>
      </c>
      <c r="L111" s="741">
        <v>4.5057644814380726</v>
      </c>
      <c r="M111" s="741">
        <v>2.9234305828459037</v>
      </c>
      <c r="N111" s="741">
        <v>3.777616471715016</v>
      </c>
      <c r="O111" s="741">
        <v>2.1584014392442246</v>
      </c>
      <c r="P111" s="741">
        <v>1.8110296850123868</v>
      </c>
      <c r="Q111" s="741">
        <v>2.2217138539140295</v>
      </c>
      <c r="R111" s="741">
        <v>1.5431510880764947</v>
      </c>
      <c r="S111" s="741">
        <v>1.8409229910603486</v>
      </c>
      <c r="T111" s="741">
        <v>1.1179842353157821</v>
      </c>
      <c r="U111" s="741">
        <v>1.1378229654076888</v>
      </c>
      <c r="V111" s="741">
        <v>1.1917549439012143</v>
      </c>
      <c r="W111" s="741">
        <v>1.0700781339950645</v>
      </c>
      <c r="X111" s="741">
        <v>1.1438873482415317</v>
      </c>
    </row>
    <row r="112" spans="1:24" x14ac:dyDescent="0.25">
      <c r="A112" s="718" t="s">
        <v>573</v>
      </c>
      <c r="B112" s="718" t="s">
        <v>576</v>
      </c>
      <c r="C112" s="718" t="s">
        <v>577</v>
      </c>
      <c r="D112" s="741">
        <v>20</v>
      </c>
      <c r="E112" s="741">
        <v>3.2310921860282789</v>
      </c>
      <c r="F112" s="741">
        <v>2.342344722397367</v>
      </c>
      <c r="G112" s="741">
        <v>3.2193719487252945</v>
      </c>
      <c r="H112" s="741">
        <v>2.2375727279114659</v>
      </c>
      <c r="I112" s="741">
        <v>2.8050637242612351</v>
      </c>
      <c r="J112" s="741">
        <v>4.0183197602601384</v>
      </c>
      <c r="K112" s="741">
        <v>2.7470526865935918</v>
      </c>
      <c r="L112" s="741">
        <v>3.9104825277284383</v>
      </c>
      <c r="M112" s="741">
        <v>2.574621393379295</v>
      </c>
      <c r="N112" s="741">
        <v>3.3268900726185469</v>
      </c>
      <c r="O112" s="741">
        <v>1.7738184833783626</v>
      </c>
      <c r="P112" s="741">
        <v>1.488345321854007</v>
      </c>
      <c r="Q112" s="741">
        <v>1.8258499217042838</v>
      </c>
      <c r="R112" s="741">
        <v>1.268196607631455</v>
      </c>
      <c r="S112" s="741">
        <v>1.5129123196119314</v>
      </c>
      <c r="T112" s="741">
        <v>0.91878232875120402</v>
      </c>
      <c r="U112" s="741">
        <v>0.93508875181745266</v>
      </c>
      <c r="V112" s="741">
        <v>0.9794086070892033</v>
      </c>
      <c r="W112" s="741">
        <v>0.87941451094377077</v>
      </c>
      <c r="X112" s="741">
        <v>0.94007259934650089</v>
      </c>
    </row>
    <row r="113" spans="1:24" x14ac:dyDescent="0.25">
      <c r="A113" s="718" t="s">
        <v>573</v>
      </c>
      <c r="B113" s="718" t="s">
        <v>576</v>
      </c>
      <c r="C113" s="718" t="s">
        <v>577</v>
      </c>
      <c r="D113" s="741">
        <v>25</v>
      </c>
      <c r="E113" s="741">
        <v>2.9315928550458157</v>
      </c>
      <c r="F113" s="741">
        <v>2.0109181162386847</v>
      </c>
      <c r="G113" s="741">
        <v>2.920959000621778</v>
      </c>
      <c r="H113" s="741">
        <v>1.920970680333298</v>
      </c>
      <c r="I113" s="741">
        <v>2.4081653765068434</v>
      </c>
      <c r="J113" s="741">
        <v>3.6458500161050296</v>
      </c>
      <c r="K113" s="741">
        <v>2.3583625249144982</v>
      </c>
      <c r="L113" s="741">
        <v>3.5480085302554896</v>
      </c>
      <c r="M113" s="741">
        <v>2.2103291428014655</v>
      </c>
      <c r="N113" s="741">
        <v>2.8561566765954129</v>
      </c>
      <c r="O113" s="741">
        <v>1.60857099007674</v>
      </c>
      <c r="P113" s="741">
        <v>1.3496902396868753</v>
      </c>
      <c r="Q113" s="741">
        <v>1.6557552217483136</v>
      </c>
      <c r="R113" s="741">
        <v>1.150050702744158</v>
      </c>
      <c r="S113" s="741">
        <v>1.3719685622007498</v>
      </c>
      <c r="T113" s="741">
        <v>0.83318931112360584</v>
      </c>
      <c r="U113" s="741">
        <v>0.84797536098467163</v>
      </c>
      <c r="V113" s="741">
        <v>0.88816769447266575</v>
      </c>
      <c r="W113" s="741">
        <v>0.7974877635126143</v>
      </c>
      <c r="X113" s="741">
        <v>0.85249491049194903</v>
      </c>
    </row>
    <row r="114" spans="1:24" x14ac:dyDescent="0.25">
      <c r="A114" s="718" t="s">
        <v>573</v>
      </c>
      <c r="B114" s="718" t="s">
        <v>576</v>
      </c>
      <c r="C114" s="718" t="s">
        <v>577</v>
      </c>
      <c r="D114" s="741">
        <v>30</v>
      </c>
      <c r="E114" s="741">
        <v>2.7311902126716712</v>
      </c>
      <c r="F114" s="741">
        <v>1.8794078070890672</v>
      </c>
      <c r="G114" s="741">
        <v>2.7212832847447874</v>
      </c>
      <c r="H114" s="741">
        <v>1.7953427663978911</v>
      </c>
      <c r="I114" s="741">
        <v>2.2506758344959592</v>
      </c>
      <c r="J114" s="741">
        <v>3.3966210088540056</v>
      </c>
      <c r="K114" s="741">
        <v>2.2041299968797441</v>
      </c>
      <c r="L114" s="741">
        <v>3.3054679320938485</v>
      </c>
      <c r="M114" s="741">
        <v>2.0657777229575123</v>
      </c>
      <c r="N114" s="741">
        <v>2.6693693357854489</v>
      </c>
      <c r="O114" s="741">
        <v>1.4750222337681822</v>
      </c>
      <c r="P114" s="741">
        <v>1.2376345989822133</v>
      </c>
      <c r="Q114" s="741">
        <v>1.5182890782084884</v>
      </c>
      <c r="R114" s="741">
        <v>1.0545697808633412</v>
      </c>
      <c r="S114" s="741">
        <v>1.2580633032431645</v>
      </c>
      <c r="T114" s="741">
        <v>0.76401524485200578</v>
      </c>
      <c r="U114" s="741">
        <v>0.77757370912198276</v>
      </c>
      <c r="V114" s="741">
        <v>0.81442914533682365</v>
      </c>
      <c r="W114" s="741">
        <v>0.73127775497371728</v>
      </c>
      <c r="X114" s="741">
        <v>0.7817180310393711</v>
      </c>
    </row>
    <row r="115" spans="1:24" x14ac:dyDescent="0.25">
      <c r="A115" s="718" t="s">
        <v>573</v>
      </c>
      <c r="B115" s="718" t="s">
        <v>576</v>
      </c>
      <c r="C115" s="718" t="s">
        <v>577</v>
      </c>
      <c r="D115" s="741">
        <v>35</v>
      </c>
      <c r="E115" s="741">
        <v>2.5900069812836239</v>
      </c>
      <c r="F115" s="741">
        <v>1.7225512487706853</v>
      </c>
      <c r="G115" s="741">
        <v>2.5806121715136365</v>
      </c>
      <c r="H115" s="741">
        <v>1.6455023292789503</v>
      </c>
      <c r="I115" s="741">
        <v>2.0628330129658168</v>
      </c>
      <c r="J115" s="741">
        <v>3.2210397082160536</v>
      </c>
      <c r="K115" s="741">
        <v>2.0201719202490249</v>
      </c>
      <c r="L115" s="741">
        <v>3.1345986013026881</v>
      </c>
      <c r="M115" s="741">
        <v>1.8933666141754453</v>
      </c>
      <c r="N115" s="741">
        <v>2.4465820911477616</v>
      </c>
      <c r="O115" s="741">
        <v>1.2613744887443084</v>
      </c>
      <c r="P115" s="741">
        <v>1.058373192558979</v>
      </c>
      <c r="Q115" s="741">
        <v>1.2983744013802341</v>
      </c>
      <c r="R115" s="741">
        <v>0.90182383933547239</v>
      </c>
      <c r="S115" s="741">
        <v>1.0758429634964484</v>
      </c>
      <c r="T115" s="741">
        <v>0.65335241517418041</v>
      </c>
      <c r="U115" s="741">
        <v>0.66494841825700046</v>
      </c>
      <c r="V115" s="741">
        <v>0.69646417748788503</v>
      </c>
      <c r="W115" s="741">
        <v>0.62535806029936225</v>
      </c>
      <c r="X115" s="741">
        <v>0.66849246851408406</v>
      </c>
    </row>
    <row r="116" spans="1:24" x14ac:dyDescent="0.25">
      <c r="A116" s="718" t="s">
        <v>573</v>
      </c>
      <c r="B116" s="718" t="s">
        <v>576</v>
      </c>
      <c r="C116" s="718" t="s">
        <v>577</v>
      </c>
      <c r="D116" s="741">
        <v>40</v>
      </c>
      <c r="E116" s="741">
        <v>2.4859173488687971</v>
      </c>
      <c r="F116" s="741">
        <v>1.5902054639464969</v>
      </c>
      <c r="G116" s="741">
        <v>2.4769001065349716</v>
      </c>
      <c r="H116" s="741">
        <v>1.5190763101089142</v>
      </c>
      <c r="I116" s="741">
        <v>1.9043429510550085</v>
      </c>
      <c r="J116" s="741">
        <v>3.0915895400718716</v>
      </c>
      <c r="K116" s="741">
        <v>1.8649595638933287</v>
      </c>
      <c r="L116" s="741">
        <v>3.0086224095258149</v>
      </c>
      <c r="M116" s="741">
        <v>1.7478968694048362</v>
      </c>
      <c r="N116" s="741">
        <v>2.2586081035982866</v>
      </c>
      <c r="O116" s="741">
        <v>1.1782362146976921</v>
      </c>
      <c r="P116" s="741">
        <v>0.9886128301662449</v>
      </c>
      <c r="Q116" s="741">
        <v>1.2127974313683232</v>
      </c>
      <c r="R116" s="741">
        <v>0.84238208638031742</v>
      </c>
      <c r="S116" s="741">
        <v>1.0049311192255979</v>
      </c>
      <c r="T116" s="741">
        <v>0.61028939731035514</v>
      </c>
      <c r="U116" s="741">
        <v>0.62111979244125481</v>
      </c>
      <c r="V116" s="741">
        <v>0.65055962640624643</v>
      </c>
      <c r="W116" s="741">
        <v>0.58413894664605637</v>
      </c>
      <c r="X116" s="741">
        <v>0.62443024434946637</v>
      </c>
    </row>
    <row r="117" spans="1:24" x14ac:dyDescent="0.25">
      <c r="A117" s="718" t="s">
        <v>573</v>
      </c>
      <c r="B117" s="718" t="s">
        <v>576</v>
      </c>
      <c r="C117" s="718" t="s">
        <v>577</v>
      </c>
      <c r="D117" s="741">
        <v>45</v>
      </c>
      <c r="E117" s="741">
        <v>2.4064389564631714</v>
      </c>
      <c r="F117" s="741">
        <v>1.5076548092869637</v>
      </c>
      <c r="G117" s="741">
        <v>2.3977100084786938</v>
      </c>
      <c r="H117" s="741">
        <v>1.4402181079957952</v>
      </c>
      <c r="I117" s="741">
        <v>1.8054848092173399</v>
      </c>
      <c r="J117" s="741">
        <v>2.9927469270080178</v>
      </c>
      <c r="K117" s="741">
        <v>1.7681458901867393</v>
      </c>
      <c r="L117" s="741">
        <v>2.9124323762676849</v>
      </c>
      <c r="M117" s="741">
        <v>1.6571601475672533</v>
      </c>
      <c r="N117" s="741">
        <v>2.1413593695204622</v>
      </c>
      <c r="O117" s="741">
        <v>1.1135731008787242</v>
      </c>
      <c r="P117" s="741">
        <v>0.93435649076461325</v>
      </c>
      <c r="Q117" s="741">
        <v>1.1462375536751706</v>
      </c>
      <c r="R117" s="741">
        <v>0.79615107764778925</v>
      </c>
      <c r="S117" s="741">
        <v>0.94977921120231545</v>
      </c>
      <c r="T117" s="741">
        <v>0.57679593286874986</v>
      </c>
      <c r="U117" s="741">
        <v>0.5870319420316088</v>
      </c>
      <c r="V117" s="741">
        <v>0.61485608017029425</v>
      </c>
      <c r="W117" s="741">
        <v>0.55208065245862359</v>
      </c>
      <c r="X117" s="741">
        <v>0.5901607120954987</v>
      </c>
    </row>
    <row r="118" spans="1:24" x14ac:dyDescent="0.25">
      <c r="A118" s="718" t="s">
        <v>573</v>
      </c>
      <c r="B118" s="718" t="s">
        <v>576</v>
      </c>
      <c r="C118" s="718" t="s">
        <v>577</v>
      </c>
      <c r="D118" s="741">
        <v>50</v>
      </c>
      <c r="E118" s="741">
        <v>2.323348410146103</v>
      </c>
      <c r="F118" s="741">
        <v>1.4740534954773097</v>
      </c>
      <c r="G118" s="741">
        <v>2.3149208589848671</v>
      </c>
      <c r="H118" s="741">
        <v>1.4081197653891078</v>
      </c>
      <c r="I118" s="741">
        <v>1.7652457165023654</v>
      </c>
      <c r="J118" s="741">
        <v>2.8894120900756479</v>
      </c>
      <c r="K118" s="741">
        <v>1.7287389751877329</v>
      </c>
      <c r="L118" s="741">
        <v>2.8118706742533237</v>
      </c>
      <c r="M118" s="741">
        <v>1.620226787352262</v>
      </c>
      <c r="N118" s="741">
        <v>2.0936345934568159</v>
      </c>
      <c r="O118" s="741">
        <v>1.0431265379434305</v>
      </c>
      <c r="P118" s="741">
        <v>0.87524748096659555</v>
      </c>
      <c r="Q118" s="741">
        <v>1.0737245808850984</v>
      </c>
      <c r="R118" s="741">
        <v>0.74578518163857432</v>
      </c>
      <c r="S118" s="741">
        <v>0.8896945333991253</v>
      </c>
      <c r="T118" s="741">
        <v>0.54030682321479362</v>
      </c>
      <c r="U118" s="741">
        <v>0.54989528471048221</v>
      </c>
      <c r="V118" s="741">
        <v>0.57595921968247799</v>
      </c>
      <c r="W118" s="741">
        <v>0.51715507424728346</v>
      </c>
      <c r="X118" s="741">
        <v>0.55282612336147974</v>
      </c>
    </row>
    <row r="119" spans="1:24" x14ac:dyDescent="0.25">
      <c r="A119" s="718" t="s">
        <v>573</v>
      </c>
      <c r="B119" s="718" t="s">
        <v>576</v>
      </c>
      <c r="C119" s="718" t="s">
        <v>577</v>
      </c>
      <c r="D119" s="741">
        <v>55</v>
      </c>
      <c r="E119" s="741">
        <v>2.251110889767006</v>
      </c>
      <c r="F119" s="741">
        <v>1.4762573671679033</v>
      </c>
      <c r="G119" s="741">
        <v>2.2429453679234985</v>
      </c>
      <c r="H119" s="741">
        <v>1.4102250589197889</v>
      </c>
      <c r="I119" s="741">
        <v>1.7678849525093878</v>
      </c>
      <c r="J119" s="741">
        <v>2.799574524676955</v>
      </c>
      <c r="K119" s="741">
        <v>1.7313236296114234</v>
      </c>
      <c r="L119" s="741">
        <v>2.7244440256078941</v>
      </c>
      <c r="M119" s="741">
        <v>1.6226492041505278</v>
      </c>
      <c r="N119" s="741">
        <v>2.0967648068616374</v>
      </c>
      <c r="O119" s="741">
        <v>0.97736525489958503</v>
      </c>
      <c r="P119" s="741">
        <v>0.82006523874225701</v>
      </c>
      <c r="Q119" s="741">
        <v>1.0060343213563465</v>
      </c>
      <c r="R119" s="741">
        <v>0.69876522507148675</v>
      </c>
      <c r="S119" s="741">
        <v>0.83360143937104425</v>
      </c>
      <c r="T119" s="741">
        <v>0.50624454156486021</v>
      </c>
      <c r="U119" s="741">
        <v>0.51522571357912172</v>
      </c>
      <c r="V119" s="741">
        <v>0.53964932257073772</v>
      </c>
      <c r="W119" s="741">
        <v>0.48454969440300999</v>
      </c>
      <c r="X119" s="741">
        <v>0.51797176992354099</v>
      </c>
    </row>
    <row r="120" spans="1:24" x14ac:dyDescent="0.25">
      <c r="A120" s="718" t="s">
        <v>573</v>
      </c>
      <c r="B120" s="718" t="s">
        <v>576</v>
      </c>
      <c r="C120" s="718" t="s">
        <v>577</v>
      </c>
      <c r="D120" s="741">
        <v>60</v>
      </c>
      <c r="E120" s="741">
        <v>2.2199326040571612</v>
      </c>
      <c r="F120" s="741">
        <v>1.5140291920700966</v>
      </c>
      <c r="G120" s="741">
        <v>2.2118801761417068</v>
      </c>
      <c r="H120" s="741">
        <v>1.4463073675895786</v>
      </c>
      <c r="I120" s="741">
        <v>1.8131184208452731</v>
      </c>
      <c r="J120" s="741">
        <v>2.7607999201947142</v>
      </c>
      <c r="K120" s="741">
        <v>1.7756216324130407</v>
      </c>
      <c r="L120" s="741">
        <v>2.6867099918839159</v>
      </c>
      <c r="M120" s="741">
        <v>1.6641666407303282</v>
      </c>
      <c r="N120" s="741">
        <v>2.1504130628549643</v>
      </c>
      <c r="O120" s="741">
        <v>0.94499382529825815</v>
      </c>
      <c r="P120" s="741">
        <v>0.79291033121727983</v>
      </c>
      <c r="Q120" s="741">
        <v>0.97271334023179079</v>
      </c>
      <c r="R120" s="741">
        <v>0.67562693780840499</v>
      </c>
      <c r="S120" s="741">
        <v>0.80599830619407142</v>
      </c>
      <c r="T120" s="741">
        <v>0.48947715654051077</v>
      </c>
      <c r="U120" s="741">
        <v>0.49816498969306922</v>
      </c>
      <c r="V120" s="741">
        <v>0.52177553386438846</v>
      </c>
      <c r="W120" s="741">
        <v>0.46850474880459619</v>
      </c>
      <c r="X120" s="741">
        <v>0.50082011558150985</v>
      </c>
    </row>
    <row r="121" spans="1:24" x14ac:dyDescent="0.25">
      <c r="A121" s="718" t="s">
        <v>573</v>
      </c>
      <c r="B121" s="718" t="s">
        <v>576</v>
      </c>
      <c r="C121" s="718" t="s">
        <v>577</v>
      </c>
      <c r="D121" s="741">
        <v>65</v>
      </c>
      <c r="E121" s="741">
        <v>2.3330305246007246</v>
      </c>
      <c r="F121" s="741">
        <v>1.5780893238900113</v>
      </c>
      <c r="G121" s="741">
        <v>2.3245678532162115</v>
      </c>
      <c r="H121" s="741">
        <v>1.5075021193850995</v>
      </c>
      <c r="I121" s="741">
        <v>1.8898333254539861</v>
      </c>
      <c r="J121" s="741">
        <v>2.9014531677033122</v>
      </c>
      <c r="K121" s="741">
        <v>1.8507500093495177</v>
      </c>
      <c r="L121" s="741">
        <v>2.8235886127169749</v>
      </c>
      <c r="M121" s="741">
        <v>1.7345792423722615</v>
      </c>
      <c r="N121" s="741">
        <v>2.2413992505686937</v>
      </c>
      <c r="O121" s="741">
        <v>0.93282064475858428</v>
      </c>
      <c r="P121" s="741">
        <v>0.78269848438777245</v>
      </c>
      <c r="Q121" s="741">
        <v>0.96018308364492522</v>
      </c>
      <c r="R121" s="741">
        <v>0.66692557709817613</v>
      </c>
      <c r="S121" s="741">
        <v>0.79561790008300404</v>
      </c>
      <c r="T121" s="741">
        <v>0.48317183090017313</v>
      </c>
      <c r="U121" s="741">
        <v>0.49174915126811281</v>
      </c>
      <c r="V121" s="741">
        <v>0.51505414838558794</v>
      </c>
      <c r="W121" s="741">
        <v>0.46247090292653265</v>
      </c>
      <c r="X121" s="741">
        <v>0.49437008194201487</v>
      </c>
    </row>
    <row r="122" spans="1:24" x14ac:dyDescent="0.25">
      <c r="A122" s="718" t="s">
        <v>573</v>
      </c>
      <c r="B122" s="718" t="s">
        <v>576</v>
      </c>
      <c r="C122" s="718" t="s">
        <v>577</v>
      </c>
      <c r="D122" s="741">
        <v>70</v>
      </c>
      <c r="E122" s="741">
        <v>2.6933730776418687</v>
      </c>
      <c r="F122" s="741">
        <v>1.7135913572943797</v>
      </c>
      <c r="G122" s="741">
        <v>2.6836033249396922</v>
      </c>
      <c r="H122" s="741">
        <v>1.6369432095982623</v>
      </c>
      <c r="I122" s="741">
        <v>2.0521031377629138</v>
      </c>
      <c r="J122" s="741">
        <v>3.3495900570217474</v>
      </c>
      <c r="K122" s="741">
        <v>2.0096639477391625</v>
      </c>
      <c r="L122" s="741">
        <v>3.2596991216518996</v>
      </c>
      <c r="M122" s="741">
        <v>1.8835182224948037</v>
      </c>
      <c r="N122" s="741">
        <v>2.433856135946022</v>
      </c>
      <c r="O122" s="741">
        <v>0.92238913733282246</v>
      </c>
      <c r="P122" s="741">
        <v>0.7739435820417081</v>
      </c>
      <c r="Q122" s="741">
        <v>0.949445588689799</v>
      </c>
      <c r="R122" s="741">
        <v>0.65946565681462743</v>
      </c>
      <c r="S122" s="741">
        <v>0.78671848714309534</v>
      </c>
      <c r="T122" s="741">
        <v>0.47776863729562064</v>
      </c>
      <c r="U122" s="741">
        <v>0.48624867326286936</v>
      </c>
      <c r="V122" s="741">
        <v>0.50929442254360235</v>
      </c>
      <c r="W122" s="741">
        <v>0.45729791783229806</v>
      </c>
      <c r="X122" s="741">
        <v>0.4888402874214548</v>
      </c>
    </row>
    <row r="123" spans="1:24" x14ac:dyDescent="0.25">
      <c r="A123" s="718" t="s">
        <v>573</v>
      </c>
      <c r="B123" s="718" t="s">
        <v>576</v>
      </c>
      <c r="C123" s="718" t="s">
        <v>577</v>
      </c>
      <c r="D123" s="741">
        <v>75</v>
      </c>
      <c r="E123" s="741">
        <v>3.5636587249935503</v>
      </c>
      <c r="F123" s="741">
        <v>2.2183777758660477</v>
      </c>
      <c r="G123" s="741">
        <v>3.5507321591393231</v>
      </c>
      <c r="H123" s="741">
        <v>2.1191507654784387</v>
      </c>
      <c r="I123" s="741">
        <v>2.6566077000913459</v>
      </c>
      <c r="J123" s="741">
        <v>4.4319132506916672</v>
      </c>
      <c r="K123" s="741">
        <v>2.6016668557799609</v>
      </c>
      <c r="L123" s="741">
        <v>4.3129766582129685</v>
      </c>
      <c r="M123" s="741">
        <v>2.4383613674490481</v>
      </c>
      <c r="N123" s="741">
        <v>3.150816756080506</v>
      </c>
      <c r="O123" s="741">
        <v>0.87872731230078138</v>
      </c>
      <c r="P123" s="741">
        <v>0.73730862769807548</v>
      </c>
      <c r="Q123" s="741">
        <v>0.90450303083326666</v>
      </c>
      <c r="R123" s="741">
        <v>0.62824956459655723</v>
      </c>
      <c r="S123" s="741">
        <v>0.74947882713874914</v>
      </c>
      <c r="T123" s="741">
        <v>0.45515318162393148</v>
      </c>
      <c r="U123" s="741">
        <v>0.46323188191272519</v>
      </c>
      <c r="V123" s="741">
        <v>0.48518667553435979</v>
      </c>
      <c r="W123" s="741">
        <v>0.4356515230175379</v>
      </c>
      <c r="X123" s="741">
        <v>0.46570082089371478</v>
      </c>
    </row>
  </sheetData>
  <mergeCells count="10">
    <mergeCell ref="A1:X1"/>
    <mergeCell ref="Z1:AV1"/>
    <mergeCell ref="E2:I2"/>
    <mergeCell ref="O2:S2"/>
    <mergeCell ref="T2:X2"/>
    <mergeCell ref="AC2:AG2"/>
    <mergeCell ref="AM2:AQ2"/>
    <mergeCell ref="AR2:AV2"/>
    <mergeCell ref="J2:N2"/>
    <mergeCell ref="AH2:AL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96"/>
  <sheetViews>
    <sheetView zoomScale="70" zoomScaleNormal="70" workbookViewId="0">
      <selection activeCell="Q20" sqref="Q20"/>
    </sheetView>
  </sheetViews>
  <sheetFormatPr defaultRowHeight="15" x14ac:dyDescent="0.25"/>
  <cols>
    <col min="1" max="1" width="31.28515625" bestFit="1" customWidth="1"/>
    <col min="2" max="2" width="37" customWidth="1"/>
    <col min="3" max="5" width="19.5703125" customWidth="1"/>
    <col min="6" max="6" width="29" customWidth="1"/>
    <col min="7" max="8" width="19.5703125" customWidth="1"/>
    <col min="9" max="9" width="29.7109375" bestFit="1" customWidth="1"/>
    <col min="10" max="11" width="19.5703125" customWidth="1"/>
    <col min="15" max="15" width="16.28515625" customWidth="1"/>
    <col min="16" max="16" width="15.5703125" customWidth="1"/>
  </cols>
  <sheetData>
    <row r="1" spans="1:16" s="462" customFormat="1" ht="28.5" x14ac:dyDescent="0.25">
      <c r="A1" s="645" t="s">
        <v>569</v>
      </c>
    </row>
    <row r="2" spans="1:16" s="462" customFormat="1" ht="15.75" x14ac:dyDescent="0.25">
      <c r="A2" s="555" t="s">
        <v>568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</row>
    <row r="3" spans="1:16" s="462" customFormat="1" x14ac:dyDescent="0.25"/>
    <row r="4" spans="1:16" x14ac:dyDescent="0.25">
      <c r="A4" t="s">
        <v>135</v>
      </c>
    </row>
    <row r="5" spans="1:16" x14ac:dyDescent="0.25">
      <c r="A5" t="s">
        <v>136</v>
      </c>
    </row>
    <row r="6" spans="1:16" x14ac:dyDescent="0.25">
      <c r="A6" t="s">
        <v>137</v>
      </c>
    </row>
    <row r="7" spans="1:16" x14ac:dyDescent="0.25">
      <c r="A7" t="s">
        <v>138</v>
      </c>
    </row>
    <row r="8" spans="1:16" x14ac:dyDescent="0.25">
      <c r="A8" t="s">
        <v>139</v>
      </c>
    </row>
    <row r="9" spans="1:16" x14ac:dyDescent="0.25">
      <c r="A9" t="s">
        <v>140</v>
      </c>
    </row>
    <row r="10" spans="1:16" x14ac:dyDescent="0.25">
      <c r="A10" t="s">
        <v>141</v>
      </c>
    </row>
    <row r="12" spans="1:16" ht="60" x14ac:dyDescent="0.25">
      <c r="C12" s="36" t="s">
        <v>492</v>
      </c>
      <c r="D12" s="36" t="s">
        <v>493</v>
      </c>
      <c r="E12" s="36" t="s">
        <v>494</v>
      </c>
      <c r="F12" s="36" t="s">
        <v>495</v>
      </c>
      <c r="G12" s="36" t="s">
        <v>30</v>
      </c>
      <c r="H12" s="36"/>
      <c r="I12" s="462"/>
      <c r="J12" s="36" t="s">
        <v>492</v>
      </c>
      <c r="K12" s="36" t="s">
        <v>493</v>
      </c>
      <c r="L12" s="36" t="s">
        <v>494</v>
      </c>
      <c r="M12" s="36" t="s">
        <v>495</v>
      </c>
      <c r="N12" s="36" t="s">
        <v>30</v>
      </c>
    </row>
    <row r="13" spans="1:16" x14ac:dyDescent="0.25">
      <c r="A13">
        <v>1</v>
      </c>
      <c r="B13" t="s">
        <v>505</v>
      </c>
      <c r="C13" s="100">
        <v>1700</v>
      </c>
      <c r="D13" s="100">
        <v>1700</v>
      </c>
      <c r="E13" s="100">
        <v>1900</v>
      </c>
      <c r="F13" s="100">
        <v>1800</v>
      </c>
      <c r="G13" s="100">
        <v>2150</v>
      </c>
      <c r="H13" s="100"/>
      <c r="I13" s="462"/>
      <c r="J13" s="100"/>
      <c r="K13" s="100"/>
      <c r="L13" s="100"/>
      <c r="M13" s="100"/>
      <c r="N13" s="100"/>
    </row>
    <row r="14" spans="1:16" x14ac:dyDescent="0.25">
      <c r="A14">
        <v>2</v>
      </c>
      <c r="B14" t="s">
        <v>506</v>
      </c>
      <c r="C14" s="100">
        <v>1700</v>
      </c>
      <c r="D14" s="100">
        <v>1700</v>
      </c>
      <c r="E14" s="100">
        <v>1900</v>
      </c>
      <c r="F14" s="100">
        <v>1800</v>
      </c>
      <c r="G14" s="100">
        <v>1850</v>
      </c>
      <c r="H14" s="100"/>
      <c r="I14" s="462" t="s">
        <v>506</v>
      </c>
      <c r="J14" s="100">
        <v>1700</v>
      </c>
      <c r="K14" s="100">
        <v>1700</v>
      </c>
      <c r="L14" s="100">
        <v>1700</v>
      </c>
      <c r="M14" s="100">
        <v>1900</v>
      </c>
      <c r="N14" s="100">
        <v>1800</v>
      </c>
      <c r="O14" s="100">
        <v>1850</v>
      </c>
    </row>
    <row r="15" spans="1:16" x14ac:dyDescent="0.25">
      <c r="A15">
        <v>3</v>
      </c>
      <c r="B15" t="s">
        <v>507</v>
      </c>
      <c r="C15" s="100">
        <v>1650</v>
      </c>
      <c r="D15" s="100">
        <v>1700</v>
      </c>
      <c r="E15" s="100">
        <v>1800</v>
      </c>
      <c r="F15" s="100">
        <v>1700</v>
      </c>
      <c r="G15" s="100">
        <v>1800</v>
      </c>
      <c r="H15" s="100"/>
      <c r="I15" s="462" t="s">
        <v>507</v>
      </c>
      <c r="J15" s="100">
        <v>1650</v>
      </c>
      <c r="K15" s="100">
        <v>1700</v>
      </c>
      <c r="L15" s="100">
        <v>1800</v>
      </c>
      <c r="M15" s="100">
        <v>1700</v>
      </c>
      <c r="N15" s="100">
        <v>1800</v>
      </c>
    </row>
    <row r="16" spans="1:16" x14ac:dyDescent="0.25">
      <c r="A16">
        <v>4</v>
      </c>
      <c r="B16" t="s">
        <v>508</v>
      </c>
      <c r="C16" s="100">
        <v>1700</v>
      </c>
      <c r="D16" s="100">
        <v>1700</v>
      </c>
      <c r="E16" s="100">
        <v>1800</v>
      </c>
      <c r="F16" s="100">
        <v>1700</v>
      </c>
      <c r="G16" s="100">
        <v>1800</v>
      </c>
      <c r="H16" s="100"/>
      <c r="I16" s="462" t="s">
        <v>508</v>
      </c>
      <c r="J16" s="100">
        <v>1700</v>
      </c>
      <c r="K16" s="100">
        <v>1700</v>
      </c>
      <c r="L16" s="100">
        <v>1800</v>
      </c>
      <c r="M16" s="100">
        <v>1700</v>
      </c>
      <c r="N16" s="100">
        <v>1800</v>
      </c>
    </row>
    <row r="17" spans="1:16" x14ac:dyDescent="0.25">
      <c r="A17">
        <v>5</v>
      </c>
      <c r="B17" t="s">
        <v>509</v>
      </c>
      <c r="C17" s="100">
        <v>1700</v>
      </c>
      <c r="D17" s="100">
        <v>1700</v>
      </c>
      <c r="E17" s="100">
        <v>1900</v>
      </c>
      <c r="F17" s="100">
        <v>1800</v>
      </c>
      <c r="G17" s="100">
        <v>1850</v>
      </c>
      <c r="H17" s="100"/>
      <c r="I17" s="462" t="s">
        <v>509</v>
      </c>
      <c r="J17" s="100">
        <v>1700</v>
      </c>
      <c r="K17" s="100">
        <v>1700</v>
      </c>
      <c r="L17" s="100">
        <v>1900</v>
      </c>
      <c r="M17" s="100">
        <v>1800</v>
      </c>
      <c r="N17" s="100">
        <v>1850</v>
      </c>
    </row>
    <row r="18" spans="1:16" x14ac:dyDescent="0.25">
      <c r="A18">
        <v>6</v>
      </c>
      <c r="B18" t="s">
        <v>657</v>
      </c>
      <c r="C18" s="100">
        <f>C15</f>
        <v>1650</v>
      </c>
      <c r="D18" s="100">
        <f t="shared" ref="D18:G18" si="0">D15</f>
        <v>1700</v>
      </c>
      <c r="E18" s="100">
        <f t="shared" si="0"/>
        <v>1800</v>
      </c>
      <c r="F18" s="100">
        <f t="shared" si="0"/>
        <v>1700</v>
      </c>
      <c r="G18" s="100">
        <f t="shared" si="0"/>
        <v>1800</v>
      </c>
      <c r="I18" t="s">
        <v>657</v>
      </c>
      <c r="J18" s="100">
        <f>J15</f>
        <v>1650</v>
      </c>
      <c r="K18" s="100">
        <f t="shared" ref="K18:N18" si="1">K15</f>
        <v>1700</v>
      </c>
      <c r="L18" s="100">
        <f t="shared" si="1"/>
        <v>1800</v>
      </c>
      <c r="M18" s="100">
        <f t="shared" si="1"/>
        <v>1700</v>
      </c>
      <c r="N18" s="100">
        <f t="shared" si="1"/>
        <v>1800</v>
      </c>
    </row>
    <row r="19" spans="1:16" x14ac:dyDescent="0.25">
      <c r="A19">
        <v>7</v>
      </c>
      <c r="B19" t="s">
        <v>496</v>
      </c>
      <c r="C19" s="100">
        <v>1700</v>
      </c>
      <c r="D19" s="100">
        <v>1700</v>
      </c>
      <c r="E19" s="100">
        <v>1800</v>
      </c>
      <c r="F19" s="100">
        <v>1700</v>
      </c>
      <c r="G19" s="100">
        <v>1800</v>
      </c>
      <c r="H19" s="100"/>
      <c r="I19" s="462" t="s">
        <v>498</v>
      </c>
      <c r="J19" s="100">
        <v>1000</v>
      </c>
      <c r="K19" s="100">
        <v>1000</v>
      </c>
      <c r="L19" s="100">
        <v>1000</v>
      </c>
      <c r="M19" s="100">
        <v>1000</v>
      </c>
      <c r="N19" s="100">
        <v>1000</v>
      </c>
    </row>
    <row r="20" spans="1:16" x14ac:dyDescent="0.25">
      <c r="A20">
        <v>8</v>
      </c>
      <c r="B20" t="s">
        <v>497</v>
      </c>
      <c r="C20" s="100">
        <v>1700</v>
      </c>
      <c r="D20" s="100">
        <v>1700</v>
      </c>
      <c r="E20" s="100">
        <v>1900</v>
      </c>
      <c r="F20" s="100">
        <v>1800</v>
      </c>
      <c r="G20" s="100">
        <v>2150</v>
      </c>
      <c r="H20" s="100"/>
      <c r="I20" s="462" t="s">
        <v>499</v>
      </c>
      <c r="J20" s="100">
        <v>1500</v>
      </c>
      <c r="K20" s="100">
        <v>1500</v>
      </c>
      <c r="L20" s="100">
        <v>1500</v>
      </c>
      <c r="M20" s="100">
        <v>1500</v>
      </c>
      <c r="N20" s="100">
        <v>1500</v>
      </c>
    </row>
    <row r="21" spans="1:16" x14ac:dyDescent="0.25">
      <c r="A21">
        <v>9</v>
      </c>
      <c r="B21" t="s">
        <v>498</v>
      </c>
      <c r="C21" s="100">
        <v>1000</v>
      </c>
      <c r="D21" s="100">
        <v>1000</v>
      </c>
      <c r="E21" s="100">
        <v>1000</v>
      </c>
      <c r="F21" s="100">
        <v>1000</v>
      </c>
      <c r="G21" s="100">
        <v>1000</v>
      </c>
      <c r="H21" s="100"/>
    </row>
    <row r="22" spans="1:16" x14ac:dyDescent="0.25">
      <c r="A22">
        <v>10</v>
      </c>
      <c r="B22" t="s">
        <v>499</v>
      </c>
      <c r="C22" s="100">
        <v>1500</v>
      </c>
      <c r="D22" s="100">
        <v>1500</v>
      </c>
      <c r="E22" s="100">
        <v>1500</v>
      </c>
      <c r="F22" s="100">
        <v>1500</v>
      </c>
      <c r="G22" s="100">
        <v>1500</v>
      </c>
      <c r="H22" s="100"/>
    </row>
    <row r="23" spans="1:16" x14ac:dyDescent="0.25">
      <c r="A23">
        <v>11</v>
      </c>
      <c r="B23" t="s">
        <v>563</v>
      </c>
      <c r="C23" s="100">
        <v>1700</v>
      </c>
      <c r="D23" s="100">
        <v>1700</v>
      </c>
      <c r="E23" s="100">
        <v>1900</v>
      </c>
      <c r="F23" s="100">
        <v>1800</v>
      </c>
      <c r="G23" s="100">
        <v>2090</v>
      </c>
      <c r="H23" s="100"/>
    </row>
    <row r="24" spans="1:16" x14ac:dyDescent="0.25">
      <c r="C24" s="100"/>
      <c r="D24" s="100"/>
      <c r="E24" s="100"/>
      <c r="F24" s="100"/>
      <c r="G24" s="100"/>
      <c r="H24" s="100"/>
      <c r="I24" s="100"/>
      <c r="P24">
        <v>2015</v>
      </c>
    </row>
    <row r="25" spans="1:16" x14ac:dyDescent="0.25">
      <c r="P25">
        <v>2016</v>
      </c>
    </row>
    <row r="26" spans="1:16" x14ac:dyDescent="0.25">
      <c r="P26" s="724">
        <v>2017</v>
      </c>
    </row>
    <row r="27" spans="1:16" x14ac:dyDescent="0.25">
      <c r="C27" s="36" t="s">
        <v>500</v>
      </c>
      <c r="D27" s="36" t="s">
        <v>501</v>
      </c>
      <c r="E27" s="36" t="s">
        <v>502</v>
      </c>
      <c r="F27" s="36"/>
      <c r="G27" s="36"/>
      <c r="H27" s="36"/>
      <c r="I27" s="462"/>
      <c r="J27" s="36" t="s">
        <v>500</v>
      </c>
      <c r="K27" s="36" t="s">
        <v>501</v>
      </c>
      <c r="L27" s="36" t="s">
        <v>502</v>
      </c>
      <c r="P27" s="724">
        <v>2018</v>
      </c>
    </row>
    <row r="28" spans="1:16" x14ac:dyDescent="0.25">
      <c r="A28" s="462">
        <v>1</v>
      </c>
      <c r="B28" s="462" t="s">
        <v>505</v>
      </c>
      <c r="C28" s="750">
        <v>12.56418</v>
      </c>
      <c r="D28" s="750">
        <v>0.64058000000000004</v>
      </c>
      <c r="E28" s="750">
        <v>3.3999999999999998E-3</v>
      </c>
      <c r="I28" s="462" t="s">
        <v>505</v>
      </c>
      <c r="J28" s="750">
        <v>12.56418</v>
      </c>
      <c r="K28" s="750">
        <v>0.64058000000000004</v>
      </c>
      <c r="L28" s="750">
        <v>3.3999999999999998E-3</v>
      </c>
      <c r="P28" s="724">
        <v>2019</v>
      </c>
    </row>
    <row r="29" spans="1:16" x14ac:dyDescent="0.25">
      <c r="A29" s="462">
        <v>2</v>
      </c>
      <c r="B29" s="462" t="s">
        <v>506</v>
      </c>
      <c r="C29" s="750">
        <v>9.3863400000000006</v>
      </c>
      <c r="D29" s="750">
        <v>0.65734999999999999</v>
      </c>
      <c r="E29" s="750">
        <v>3.48E-3</v>
      </c>
      <c r="I29" s="462" t="s">
        <v>506</v>
      </c>
      <c r="J29" s="750">
        <v>9.3863400000000006</v>
      </c>
      <c r="K29" s="750">
        <v>0.65734999999999999</v>
      </c>
      <c r="L29" s="750">
        <v>3.48E-3</v>
      </c>
      <c r="P29" s="724">
        <v>2020</v>
      </c>
    </row>
    <row r="30" spans="1:16" x14ac:dyDescent="0.25">
      <c r="A30" s="462">
        <v>3</v>
      </c>
      <c r="B30" s="462" t="s">
        <v>507</v>
      </c>
      <c r="C30" s="750">
        <v>9.3863400000000006</v>
      </c>
      <c r="D30" s="750">
        <v>0.65734999999999999</v>
      </c>
      <c r="E30" s="750">
        <v>3.48E-3</v>
      </c>
      <c r="I30" s="462" t="s">
        <v>507</v>
      </c>
      <c r="J30" s="750">
        <v>9.3863400000000006</v>
      </c>
      <c r="K30" s="750">
        <v>0.65734999999999999</v>
      </c>
      <c r="L30" s="750">
        <v>3.48E-3</v>
      </c>
      <c r="P30" s="724">
        <v>2021</v>
      </c>
    </row>
    <row r="31" spans="1:16" x14ac:dyDescent="0.25">
      <c r="A31" s="462">
        <v>4</v>
      </c>
      <c r="B31" s="462" t="s">
        <v>508</v>
      </c>
      <c r="C31" s="750">
        <v>9.3863400000000006</v>
      </c>
      <c r="D31" s="750">
        <v>0.65734999999999999</v>
      </c>
      <c r="E31" s="750">
        <v>3.48E-3</v>
      </c>
      <c r="I31" s="462" t="s">
        <v>508</v>
      </c>
      <c r="J31" s="750">
        <v>9.3863400000000006</v>
      </c>
      <c r="K31" s="750">
        <v>0.65734999999999999</v>
      </c>
      <c r="L31" s="750">
        <v>3.48E-3</v>
      </c>
      <c r="P31" s="724">
        <v>2022</v>
      </c>
    </row>
    <row r="32" spans="1:16" x14ac:dyDescent="0.25">
      <c r="A32" s="462">
        <v>5</v>
      </c>
      <c r="B32" s="462" t="s">
        <v>509</v>
      </c>
      <c r="C32" s="750">
        <v>9.3863400000000006</v>
      </c>
      <c r="D32" s="750">
        <v>0.65734999999999999</v>
      </c>
      <c r="E32" s="750">
        <v>3.48E-3</v>
      </c>
      <c r="I32" s="462" t="s">
        <v>509</v>
      </c>
      <c r="J32" s="750">
        <v>9.3863400000000006</v>
      </c>
      <c r="K32" s="750">
        <v>0.65734999999999999</v>
      </c>
      <c r="L32" s="750">
        <v>3.48E-3</v>
      </c>
      <c r="P32" s="724">
        <v>2023</v>
      </c>
    </row>
    <row r="33" spans="1:33" x14ac:dyDescent="0.25">
      <c r="A33" s="462">
        <v>6</v>
      </c>
      <c r="B33" t="s">
        <v>657</v>
      </c>
      <c r="C33" s="750">
        <f>C30</f>
        <v>9.3863400000000006</v>
      </c>
      <c r="D33" s="750">
        <f t="shared" ref="D33:E33" si="2">D30</f>
        <v>0.65734999999999999</v>
      </c>
      <c r="E33" s="750">
        <f t="shared" si="2"/>
        <v>3.48E-3</v>
      </c>
      <c r="I33" t="s">
        <v>657</v>
      </c>
      <c r="J33" s="750">
        <f>J30</f>
        <v>9.3863400000000006</v>
      </c>
      <c r="K33" s="750">
        <f t="shared" ref="K33:L33" si="3">K30</f>
        <v>0.65734999999999999</v>
      </c>
      <c r="L33" s="750">
        <f t="shared" si="3"/>
        <v>3.48E-3</v>
      </c>
      <c r="P33" s="724">
        <v>2024</v>
      </c>
    </row>
    <row r="34" spans="1:33" x14ac:dyDescent="0.25">
      <c r="A34" s="462">
        <v>7</v>
      </c>
      <c r="B34" s="462" t="s">
        <v>496</v>
      </c>
      <c r="C34" s="750">
        <v>0</v>
      </c>
      <c r="D34" s="750">
        <v>0.6</v>
      </c>
      <c r="E34" s="750">
        <v>0</v>
      </c>
      <c r="I34" s="462" t="s">
        <v>496</v>
      </c>
      <c r="J34" s="750">
        <v>0</v>
      </c>
      <c r="K34" s="750">
        <v>0.6</v>
      </c>
      <c r="L34" s="750">
        <v>0</v>
      </c>
      <c r="P34" s="724">
        <v>2025</v>
      </c>
    </row>
    <row r="35" spans="1:33" x14ac:dyDescent="0.25">
      <c r="A35" s="462">
        <v>8</v>
      </c>
      <c r="B35" s="462" t="s">
        <v>497</v>
      </c>
      <c r="C35" s="750">
        <v>12.56418</v>
      </c>
      <c r="D35" s="750">
        <v>0.64058000000000004</v>
      </c>
      <c r="E35" s="750">
        <v>3.3999999999999998E-3</v>
      </c>
      <c r="I35" s="462" t="s">
        <v>497</v>
      </c>
      <c r="J35" s="750">
        <v>12.56418</v>
      </c>
      <c r="K35" s="750">
        <v>0.64058000000000004</v>
      </c>
      <c r="L35" s="750">
        <v>3.3999999999999998E-3</v>
      </c>
    </row>
    <row r="36" spans="1:33" x14ac:dyDescent="0.25">
      <c r="A36" s="462">
        <v>9</v>
      </c>
      <c r="B36" s="462" t="s">
        <v>498</v>
      </c>
      <c r="C36" s="750">
        <v>9.3863400000000006</v>
      </c>
      <c r="D36" s="750">
        <v>0.65734999999999999</v>
      </c>
      <c r="E36" s="750">
        <v>3.48E-3</v>
      </c>
      <c r="I36" s="462" t="s">
        <v>498</v>
      </c>
      <c r="J36" s="750">
        <v>9.3863400000000006</v>
      </c>
      <c r="K36" s="750">
        <v>0.65734999999999999</v>
      </c>
      <c r="L36" s="750">
        <v>3.48E-3</v>
      </c>
    </row>
    <row r="37" spans="1:33" x14ac:dyDescent="0.25">
      <c r="A37" s="462">
        <v>10</v>
      </c>
      <c r="B37" s="462" t="s">
        <v>499</v>
      </c>
      <c r="C37" s="750">
        <v>9.3863400000000006</v>
      </c>
      <c r="D37" s="750">
        <v>0.65734999999999999</v>
      </c>
      <c r="E37" s="750">
        <v>3.48E-3</v>
      </c>
      <c r="I37" s="462" t="s">
        <v>499</v>
      </c>
      <c r="J37" s="750">
        <v>9.3863400000000006</v>
      </c>
      <c r="K37" s="750">
        <v>0.65734999999999999</v>
      </c>
      <c r="L37" s="750">
        <v>3.48E-3</v>
      </c>
    </row>
    <row r="38" spans="1:33" x14ac:dyDescent="0.25">
      <c r="A38" s="462">
        <v>11</v>
      </c>
      <c r="B38" s="462" t="s">
        <v>563</v>
      </c>
      <c r="C38" s="750">
        <v>12.56418</v>
      </c>
      <c r="D38" s="750">
        <v>0.64058000000000004</v>
      </c>
      <c r="E38" s="750">
        <v>3.3999999999999998E-3</v>
      </c>
      <c r="I38" s="462" t="s">
        <v>563</v>
      </c>
      <c r="J38" s="750">
        <v>12.56418</v>
      </c>
      <c r="K38" s="750">
        <v>0.64058000000000004</v>
      </c>
      <c r="L38" s="750">
        <v>3.3999999999999998E-3</v>
      </c>
      <c r="AG38" t="s">
        <v>485</v>
      </c>
    </row>
    <row r="40" spans="1:33" s="462" customFormat="1" x14ac:dyDescent="0.25"/>
    <row r="41" spans="1:33" s="462" customFormat="1" ht="15.75" x14ac:dyDescent="0.25">
      <c r="A41" s="555" t="s">
        <v>421</v>
      </c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</row>
    <row r="42" spans="1:33" s="462" customFormat="1" ht="15.75" x14ac:dyDescent="0.25">
      <c r="A42" s="560" t="s">
        <v>432</v>
      </c>
      <c r="B42" s="172"/>
      <c r="C42" s="172"/>
      <c r="D42" s="172"/>
      <c r="E42" s="172"/>
      <c r="F42" s="172"/>
      <c r="G42" s="172"/>
      <c r="H42" s="172"/>
      <c r="I42" s="172"/>
      <c r="J42" s="172"/>
    </row>
    <row r="43" spans="1:33" s="462" customFormat="1" ht="27.75" customHeight="1" x14ac:dyDescent="0.25">
      <c r="A43" s="1042" t="s">
        <v>423</v>
      </c>
      <c r="B43" s="556" t="s">
        <v>424</v>
      </c>
      <c r="C43" s="556" t="s">
        <v>433</v>
      </c>
    </row>
    <row r="44" spans="1:33" s="462" customFormat="1" ht="25.5" x14ac:dyDescent="0.25">
      <c r="A44" s="1043"/>
      <c r="B44" s="557" t="s">
        <v>425</v>
      </c>
      <c r="C44" s="557" t="s">
        <v>434</v>
      </c>
    </row>
    <row r="45" spans="1:33" s="462" customFormat="1" x14ac:dyDescent="0.25">
      <c r="A45" s="558" t="s">
        <v>3</v>
      </c>
      <c r="B45" s="559" t="s">
        <v>426</v>
      </c>
      <c r="C45" s="559" t="s">
        <v>435</v>
      </c>
    </row>
    <row r="46" spans="1:33" s="462" customFormat="1" ht="25.5" x14ac:dyDescent="0.25">
      <c r="A46" s="558" t="s">
        <v>4</v>
      </c>
      <c r="B46" s="559" t="s">
        <v>427</v>
      </c>
      <c r="C46" s="559" t="s">
        <v>436</v>
      </c>
    </row>
    <row r="47" spans="1:33" s="171" customFormat="1" ht="25.5" x14ac:dyDescent="0.25">
      <c r="A47" s="558" t="s">
        <v>5</v>
      </c>
      <c r="B47" s="559" t="s">
        <v>428</v>
      </c>
      <c r="C47" s="559" t="s">
        <v>437</v>
      </c>
    </row>
    <row r="48" spans="1:33" s="462" customFormat="1" ht="76.5" x14ac:dyDescent="0.25">
      <c r="A48" s="558" t="s">
        <v>6</v>
      </c>
      <c r="B48" s="559" t="s">
        <v>429</v>
      </c>
      <c r="C48" s="559" t="s">
        <v>438</v>
      </c>
    </row>
    <row r="49" spans="1:16" s="462" customFormat="1" ht="25.5" x14ac:dyDescent="0.25">
      <c r="A49" s="558" t="s">
        <v>7</v>
      </c>
      <c r="B49" s="559" t="s">
        <v>430</v>
      </c>
      <c r="C49" s="559" t="s">
        <v>439</v>
      </c>
    </row>
    <row r="50" spans="1:16" s="462" customFormat="1" x14ac:dyDescent="0.25">
      <c r="A50" s="558" t="s">
        <v>8</v>
      </c>
      <c r="B50" s="559" t="s">
        <v>431</v>
      </c>
      <c r="C50" s="559" t="s">
        <v>440</v>
      </c>
    </row>
    <row r="51" spans="1:16" s="462" customFormat="1" x14ac:dyDescent="0.25"/>
    <row r="52" spans="1:16" s="171" customFormat="1" ht="15.75" x14ac:dyDescent="0.25">
      <c r="A52" s="555" t="s">
        <v>328</v>
      </c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</row>
    <row r="53" spans="1:16" s="171" customFormat="1" ht="15.75" x14ac:dyDescent="0.25">
      <c r="A53" s="462"/>
      <c r="B53" s="560" t="s">
        <v>441</v>
      </c>
    </row>
    <row r="54" spans="1:16" s="171" customFormat="1" ht="25.5" x14ac:dyDescent="0.25">
      <c r="B54" s="55" t="s">
        <v>57</v>
      </c>
      <c r="C54" s="56" t="s">
        <v>58</v>
      </c>
      <c r="D54" s="57" t="s">
        <v>50</v>
      </c>
      <c r="E54" s="57" t="s">
        <v>82</v>
      </c>
      <c r="F54" s="56" t="s">
        <v>83</v>
      </c>
    </row>
    <row r="55" spans="1:16" s="171" customFormat="1" ht="63.75" x14ac:dyDescent="0.25">
      <c r="B55" s="90" t="s">
        <v>59</v>
      </c>
      <c r="C55" s="91" t="s">
        <v>51</v>
      </c>
      <c r="D55" s="92" t="s">
        <v>3</v>
      </c>
      <c r="E55" s="93" t="s">
        <v>84</v>
      </c>
      <c r="F55" s="91" t="s">
        <v>85</v>
      </c>
    </row>
    <row r="56" spans="1:16" s="171" customFormat="1" ht="76.5" x14ac:dyDescent="0.25">
      <c r="B56" s="90" t="s">
        <v>60</v>
      </c>
      <c r="C56" s="91" t="s">
        <v>52</v>
      </c>
      <c r="D56" s="92" t="s">
        <v>4</v>
      </c>
      <c r="E56" s="94" t="s">
        <v>86</v>
      </c>
      <c r="F56" s="91" t="s">
        <v>87</v>
      </c>
    </row>
    <row r="57" spans="1:16" s="171" customFormat="1" ht="76.5" x14ac:dyDescent="0.25">
      <c r="B57" s="90" t="s">
        <v>61</v>
      </c>
      <c r="C57" s="91" t="s">
        <v>53</v>
      </c>
      <c r="D57" s="92" t="s">
        <v>5</v>
      </c>
      <c r="E57" s="94" t="s">
        <v>88</v>
      </c>
      <c r="F57" s="91" t="s">
        <v>89</v>
      </c>
    </row>
    <row r="58" spans="1:16" s="171" customFormat="1" ht="76.5" x14ac:dyDescent="0.25">
      <c r="B58" s="90" t="s">
        <v>62</v>
      </c>
      <c r="C58" s="91" t="s">
        <v>54</v>
      </c>
      <c r="D58" s="92" t="s">
        <v>6</v>
      </c>
      <c r="E58" s="94" t="s">
        <v>90</v>
      </c>
      <c r="F58" s="91" t="s">
        <v>91</v>
      </c>
    </row>
    <row r="59" spans="1:16" s="171" customFormat="1" ht="153" x14ac:dyDescent="0.25">
      <c r="B59" s="90" t="s">
        <v>63</v>
      </c>
      <c r="C59" s="91" t="s">
        <v>55</v>
      </c>
      <c r="D59" s="92" t="s">
        <v>7</v>
      </c>
      <c r="E59" s="94" t="s">
        <v>92</v>
      </c>
      <c r="F59" s="91" t="s">
        <v>93</v>
      </c>
    </row>
    <row r="60" spans="1:16" s="171" customFormat="1" ht="102" x14ac:dyDescent="0.25">
      <c r="B60" s="90" t="s">
        <v>64</v>
      </c>
      <c r="C60" s="91" t="s">
        <v>56</v>
      </c>
      <c r="D60" s="92" t="s">
        <v>8</v>
      </c>
      <c r="E60" s="94" t="s">
        <v>94</v>
      </c>
      <c r="F60" s="91" t="s">
        <v>95</v>
      </c>
    </row>
    <row r="61" spans="1:16" s="171" customFormat="1" ht="15.75" thickBot="1" x14ac:dyDescent="0.3"/>
    <row r="62" spans="1:16" s="171" customFormat="1" ht="30.75" thickBot="1" x14ac:dyDescent="0.35">
      <c r="B62" s="95" t="s">
        <v>71</v>
      </c>
      <c r="C62" s="96"/>
      <c r="D62" s="96" t="s">
        <v>72</v>
      </c>
    </row>
    <row r="63" spans="1:16" s="171" customFormat="1" ht="15.75" thickBot="1" x14ac:dyDescent="0.3">
      <c r="B63" s="97" t="s">
        <v>73</v>
      </c>
      <c r="C63" s="139"/>
      <c r="D63" s="98">
        <v>60</v>
      </c>
    </row>
    <row r="64" spans="1:16" s="171" customFormat="1" ht="27.75" thickBot="1" x14ac:dyDescent="0.3">
      <c r="B64" s="97" t="s">
        <v>74</v>
      </c>
      <c r="C64" s="139"/>
      <c r="D64" s="98">
        <v>90</v>
      </c>
    </row>
    <row r="65" spans="1:16" s="171" customFormat="1" ht="41.25" thickBot="1" x14ac:dyDescent="0.3">
      <c r="B65" s="97" t="s">
        <v>75</v>
      </c>
      <c r="C65" s="139"/>
      <c r="D65" s="98">
        <v>120</v>
      </c>
    </row>
    <row r="66" spans="1:16" s="171" customFormat="1" ht="16.5" x14ac:dyDescent="0.3">
      <c r="B66" s="99" t="s">
        <v>76</v>
      </c>
      <c r="C66" s="99"/>
      <c r="D66" s="82"/>
      <c r="G66" s="549" t="s">
        <v>96</v>
      </c>
    </row>
    <row r="67" spans="1:16" s="171" customFormat="1" ht="16.5" x14ac:dyDescent="0.3">
      <c r="B67" s="99"/>
      <c r="C67" s="99"/>
      <c r="D67" s="82"/>
      <c r="G67" s="549" t="s">
        <v>97</v>
      </c>
    </row>
    <row r="70" spans="1:16" ht="15.75" x14ac:dyDescent="0.25">
      <c r="A70" s="555" t="s">
        <v>261</v>
      </c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</row>
    <row r="74" spans="1:16" x14ac:dyDescent="0.25">
      <c r="B74" s="171"/>
    </row>
    <row r="150" spans="1:16" ht="15.75" x14ac:dyDescent="0.25">
      <c r="A150" s="555" t="s">
        <v>417</v>
      </c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</row>
    <row r="152" spans="1:16" x14ac:dyDescent="0.25">
      <c r="A152" s="116"/>
      <c r="B152" s="543" t="s">
        <v>15</v>
      </c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</row>
    <row r="153" spans="1:16" x14ac:dyDescent="0.25">
      <c r="A153" s="116"/>
      <c r="B153" s="12" t="s">
        <v>20</v>
      </c>
      <c r="C153" s="514" t="s">
        <v>13</v>
      </c>
      <c r="D153" s="23"/>
      <c r="E153" s="23"/>
      <c r="F153" s="23"/>
      <c r="G153" s="12" t="s">
        <v>43</v>
      </c>
      <c r="H153" s="23"/>
      <c r="I153" s="23"/>
      <c r="J153" s="23"/>
      <c r="K153" s="23"/>
      <c r="L153" s="23"/>
      <c r="M153" s="23"/>
      <c r="N153" s="23"/>
    </row>
    <row r="154" spans="1:16" x14ac:dyDescent="0.25">
      <c r="A154" s="515" t="s">
        <v>14</v>
      </c>
      <c r="B154" s="514" t="s">
        <v>19</v>
      </c>
      <c r="C154" s="514" t="s">
        <v>16</v>
      </c>
      <c r="D154" s="516" t="s">
        <v>17</v>
      </c>
      <c r="E154" s="514" t="s">
        <v>18</v>
      </c>
      <c r="F154" s="23"/>
      <c r="G154" s="23"/>
      <c r="H154" s="514" t="s">
        <v>19</v>
      </c>
      <c r="I154" s="514" t="s">
        <v>16</v>
      </c>
      <c r="J154" s="516" t="s">
        <v>17</v>
      </c>
      <c r="K154" s="514" t="s">
        <v>18</v>
      </c>
      <c r="L154" s="23"/>
      <c r="M154" s="23"/>
      <c r="N154" s="23"/>
    </row>
    <row r="155" spans="1:16" x14ac:dyDescent="0.25">
      <c r="A155" s="116"/>
      <c r="B155" s="514">
        <v>12000</v>
      </c>
      <c r="C155" s="23">
        <v>1.9E-3</v>
      </c>
      <c r="D155" s="23">
        <v>2.8999999999999998E-3</v>
      </c>
      <c r="E155" s="23">
        <v>3.8E-3</v>
      </c>
      <c r="F155" s="23"/>
      <c r="G155" s="514" t="s">
        <v>14</v>
      </c>
      <c r="H155" s="514">
        <v>12000</v>
      </c>
      <c r="I155" s="23">
        <v>1.04E-2</v>
      </c>
      <c r="J155" s="23">
        <v>1.55E-2</v>
      </c>
      <c r="K155" s="23">
        <v>2.07E-2</v>
      </c>
      <c r="L155" s="23"/>
      <c r="M155" s="23"/>
      <c r="N155" s="23"/>
    </row>
    <row r="156" spans="1:16" x14ac:dyDescent="0.25">
      <c r="A156" s="116"/>
      <c r="B156" s="514">
        <v>24000</v>
      </c>
      <c r="C156" s="23">
        <v>1.4E-3</v>
      </c>
      <c r="D156" s="23">
        <v>2E-3</v>
      </c>
      <c r="E156" s="23">
        <v>2.7000000000000001E-3</v>
      </c>
      <c r="F156" s="23"/>
      <c r="G156" s="23"/>
      <c r="H156" s="514">
        <v>24000</v>
      </c>
      <c r="I156" s="23">
        <v>7.3000000000000001E-3</v>
      </c>
      <c r="J156" s="23">
        <v>1.09E-2</v>
      </c>
      <c r="K156" s="23">
        <v>1.4500000000000001E-2</v>
      </c>
      <c r="L156" s="23"/>
      <c r="M156" s="23"/>
      <c r="N156" s="23"/>
    </row>
    <row r="157" spans="1:16" x14ac:dyDescent="0.25">
      <c r="A157" s="116"/>
      <c r="B157" s="514">
        <v>30000</v>
      </c>
      <c r="C157" s="23">
        <v>1E-3</v>
      </c>
      <c r="D157" s="23">
        <v>1.4E-3</v>
      </c>
      <c r="E157" s="23">
        <v>1.9E-3</v>
      </c>
      <c r="F157" s="23"/>
      <c r="G157" s="23"/>
      <c r="H157" s="514">
        <v>30000</v>
      </c>
      <c r="I157" s="23">
        <v>5.1999999999999998E-3</v>
      </c>
      <c r="J157" s="23">
        <v>7.7999999999999996E-3</v>
      </c>
      <c r="K157" s="23">
        <v>1.04E-2</v>
      </c>
      <c r="L157" s="23"/>
      <c r="M157" s="23"/>
      <c r="N157" s="23"/>
    </row>
    <row r="158" spans="1:16" x14ac:dyDescent="0.25">
      <c r="A158" s="116"/>
      <c r="B158" s="514"/>
      <c r="C158" s="23"/>
      <c r="D158" s="23"/>
      <c r="E158" s="23"/>
      <c r="F158" s="23"/>
      <c r="G158" s="23"/>
      <c r="H158" s="514"/>
      <c r="I158" s="23"/>
      <c r="J158" s="23"/>
      <c r="K158" s="23"/>
      <c r="L158" s="23"/>
      <c r="M158" s="23"/>
      <c r="N158" s="23"/>
    </row>
    <row r="159" spans="1:16" x14ac:dyDescent="0.25">
      <c r="A159" s="116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</row>
    <row r="160" spans="1:16" x14ac:dyDescent="0.25">
      <c r="A160" s="116"/>
      <c r="B160" s="46" t="s">
        <v>235</v>
      </c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</row>
    <row r="161" spans="1:14" x14ac:dyDescent="0.25">
      <c r="A161" s="116"/>
      <c r="B161" s="23" t="s">
        <v>236</v>
      </c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</row>
    <row r="162" spans="1:14" x14ac:dyDescent="0.25">
      <c r="A162" s="116"/>
      <c r="B162" s="23"/>
      <c r="C162" s="23" t="s">
        <v>237</v>
      </c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</row>
    <row r="163" spans="1:14" x14ac:dyDescent="0.25">
      <c r="A163" s="116"/>
      <c r="B163" s="23" t="s">
        <v>238</v>
      </c>
      <c r="C163" s="23">
        <v>5.0000000000000001E-4</v>
      </c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</row>
    <row r="164" spans="1:14" x14ac:dyDescent="0.25">
      <c r="A164" s="116"/>
      <c r="B164" s="23" t="s">
        <v>239</v>
      </c>
      <c r="C164" s="23">
        <v>1E-3</v>
      </c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</row>
    <row r="165" spans="1:14" x14ac:dyDescent="0.25">
      <c r="A165" s="116"/>
      <c r="B165" s="23" t="s">
        <v>240</v>
      </c>
      <c r="C165" s="23">
        <v>1.5E-3</v>
      </c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</row>
    <row r="166" spans="1:14" x14ac:dyDescent="0.25">
      <c r="A166" s="116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</row>
    <row r="167" spans="1:14" x14ac:dyDescent="0.25">
      <c r="A167" s="116"/>
      <c r="B167" s="517" t="s">
        <v>241</v>
      </c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</row>
    <row r="168" spans="1:14" x14ac:dyDescent="0.25">
      <c r="A168" s="116"/>
      <c r="B168" s="517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</row>
    <row r="169" spans="1:14" x14ac:dyDescent="0.25">
      <c r="A169" s="116"/>
      <c r="B169" s="23" t="s">
        <v>41</v>
      </c>
      <c r="C169" s="514" t="s">
        <v>32</v>
      </c>
      <c r="D169" s="514" t="s">
        <v>21</v>
      </c>
      <c r="E169" s="514"/>
      <c r="F169" s="518" t="s">
        <v>33</v>
      </c>
      <c r="G169" s="23"/>
      <c r="H169" s="23"/>
      <c r="I169" s="23"/>
      <c r="J169" s="23"/>
      <c r="K169" s="23"/>
      <c r="L169" s="23"/>
      <c r="M169" s="23"/>
      <c r="N169" s="23"/>
    </row>
    <row r="170" spans="1:14" x14ac:dyDescent="0.25">
      <c r="A170" s="116"/>
      <c r="B170" s="23"/>
      <c r="C170" s="514"/>
      <c r="D170" s="514"/>
      <c r="E170" s="514"/>
      <c r="F170" s="518"/>
      <c r="G170" s="23"/>
      <c r="H170" s="23"/>
      <c r="I170" s="23"/>
      <c r="J170" s="23"/>
      <c r="K170" s="23"/>
      <c r="L170" s="23"/>
      <c r="M170" s="23"/>
      <c r="N170" s="23"/>
    </row>
    <row r="171" spans="1:14" x14ac:dyDescent="0.25">
      <c r="A171" s="116"/>
      <c r="B171" s="12" t="str">
        <f>B217</f>
        <v>CBD</v>
      </c>
      <c r="C171" s="327">
        <f t="shared" ref="C171:D171" si="4">C217</f>
        <v>1.6985544412558642E-2</v>
      </c>
      <c r="D171" s="327">
        <f t="shared" si="4"/>
        <v>3.3971088825117284E-2</v>
      </c>
      <c r="E171" s="519"/>
      <c r="F171" s="520" t="s">
        <v>34</v>
      </c>
      <c r="G171" s="23"/>
      <c r="H171" s="521"/>
      <c r="I171" s="521"/>
      <c r="J171" s="521"/>
      <c r="K171" s="522"/>
      <c r="L171" s="521"/>
      <c r="M171" s="23"/>
      <c r="N171" s="23"/>
    </row>
    <row r="172" spans="1:14" x14ac:dyDescent="0.25">
      <c r="A172" s="116"/>
      <c r="B172" s="12" t="str">
        <f t="shared" ref="B172:D172" si="5">B218</f>
        <v>CBD Fringe</v>
      </c>
      <c r="C172" s="327">
        <f t="shared" si="5"/>
        <v>1.6968995079457611E-2</v>
      </c>
      <c r="D172" s="327">
        <f t="shared" si="5"/>
        <v>3.3937990158915222E-2</v>
      </c>
      <c r="E172" s="519"/>
      <c r="F172" s="23"/>
      <c r="G172" s="24">
        <v>2005</v>
      </c>
      <c r="H172" s="24">
        <v>2035</v>
      </c>
      <c r="I172" s="24" t="s">
        <v>35</v>
      </c>
      <c r="J172" s="24">
        <v>2010</v>
      </c>
      <c r="K172" s="24">
        <v>2020</v>
      </c>
      <c r="L172" s="24">
        <v>2030</v>
      </c>
      <c r="M172" s="23"/>
      <c r="N172" s="23"/>
    </row>
    <row r="173" spans="1:14" x14ac:dyDescent="0.25">
      <c r="A173" s="116"/>
      <c r="B173" s="12" t="str">
        <f t="shared" ref="B173:D173" si="6">B219</f>
        <v>Residential</v>
      </c>
      <c r="C173" s="327">
        <f t="shared" si="6"/>
        <v>1.5948378262255571E-2</v>
      </c>
      <c r="D173" s="327">
        <f t="shared" si="6"/>
        <v>3.1896756524511141E-2</v>
      </c>
      <c r="E173" s="23"/>
      <c r="F173" s="23"/>
      <c r="G173" s="24"/>
      <c r="H173" s="24"/>
      <c r="I173" s="24"/>
      <c r="J173" s="24"/>
      <c r="K173" s="24"/>
      <c r="L173" s="24"/>
      <c r="M173" s="23"/>
      <c r="N173" s="23"/>
    </row>
    <row r="174" spans="1:14" x14ac:dyDescent="0.25">
      <c r="A174" s="116"/>
      <c r="B174" s="12" t="str">
        <f t="shared" ref="B174:D174" si="7">B220</f>
        <v>Suburban CBD</v>
      </c>
      <c r="C174" s="327">
        <f t="shared" si="7"/>
        <v>1.7027059315920728E-2</v>
      </c>
      <c r="D174" s="327">
        <f t="shared" si="7"/>
        <v>3.4054118631841455E-2</v>
      </c>
      <c r="E174" s="23"/>
      <c r="F174" s="12" t="s">
        <v>36</v>
      </c>
      <c r="G174" s="44">
        <v>11422</v>
      </c>
      <c r="H174" s="44">
        <v>13798</v>
      </c>
      <c r="I174" s="44">
        <v>16191</v>
      </c>
      <c r="J174" s="44">
        <v>11818</v>
      </c>
      <c r="K174" s="44">
        <v>12610</v>
      </c>
      <c r="L174" s="44">
        <v>13402</v>
      </c>
      <c r="M174" s="23"/>
      <c r="N174" s="23"/>
    </row>
    <row r="175" spans="1:14" x14ac:dyDescent="0.25">
      <c r="A175" s="116"/>
      <c r="B175" s="12" t="str">
        <f t="shared" ref="B175:D175" si="8">B221</f>
        <v>Rural</v>
      </c>
      <c r="C175" s="327">
        <f t="shared" si="8"/>
        <v>1.4021549049472557E-2</v>
      </c>
      <c r="D175" s="327">
        <f t="shared" si="8"/>
        <v>2.8043098098945115E-2</v>
      </c>
      <c r="E175" s="23"/>
      <c r="F175" s="12" t="s">
        <v>37</v>
      </c>
      <c r="G175" s="44">
        <v>10083</v>
      </c>
      <c r="H175" s="44">
        <v>12196</v>
      </c>
      <c r="I175" s="44">
        <v>14359</v>
      </c>
      <c r="J175" s="44">
        <v>10435.166666666666</v>
      </c>
      <c r="K175" s="44">
        <v>11139.5</v>
      </c>
      <c r="L175" s="44">
        <v>11843.833333333334</v>
      </c>
      <c r="M175" s="23"/>
      <c r="N175" s="23"/>
    </row>
    <row r="176" spans="1:14" x14ac:dyDescent="0.25">
      <c r="A176" s="116"/>
      <c r="B176" s="23"/>
      <c r="C176" s="23"/>
      <c r="D176" s="23"/>
      <c r="E176" s="23"/>
      <c r="F176" s="12"/>
      <c r="G176" s="44"/>
      <c r="H176" s="44"/>
      <c r="I176" s="44"/>
      <c r="J176" s="44"/>
      <c r="K176" s="44"/>
      <c r="L176" s="44"/>
      <c r="M176" s="23"/>
      <c r="N176" s="23"/>
    </row>
    <row r="177" spans="1:14" x14ac:dyDescent="0.25">
      <c r="A177" s="116"/>
      <c r="B177" s="23"/>
      <c r="C177" s="23"/>
      <c r="D177" s="23"/>
      <c r="E177" s="23"/>
      <c r="F177" s="12" t="s">
        <v>38</v>
      </c>
      <c r="G177" s="44">
        <v>9345</v>
      </c>
      <c r="H177" s="44">
        <v>11345</v>
      </c>
      <c r="I177" s="44">
        <v>13406</v>
      </c>
      <c r="J177" s="44">
        <v>9678.3333333333339</v>
      </c>
      <c r="K177" s="44">
        <v>10345</v>
      </c>
      <c r="L177" s="44">
        <v>11011.666666666666</v>
      </c>
      <c r="M177" s="23"/>
      <c r="N177" s="23"/>
    </row>
    <row r="178" spans="1:14" x14ac:dyDescent="0.25">
      <c r="A178" s="116" t="s">
        <v>21</v>
      </c>
      <c r="B178" s="23"/>
      <c r="C178" s="23"/>
      <c r="D178" s="23"/>
      <c r="E178" s="23"/>
      <c r="F178" s="12" t="s">
        <v>39</v>
      </c>
      <c r="G178" s="44">
        <v>7986</v>
      </c>
      <c r="H178" s="44">
        <v>9782</v>
      </c>
      <c r="I178" s="44">
        <v>11651</v>
      </c>
      <c r="J178" s="44">
        <v>8285.3333333333339</v>
      </c>
      <c r="K178" s="44">
        <v>8884</v>
      </c>
      <c r="L178" s="44">
        <v>9482.6666666666661</v>
      </c>
      <c r="M178" s="23"/>
      <c r="N178" s="23"/>
    </row>
    <row r="179" spans="1:14" x14ac:dyDescent="0.25">
      <c r="A179" s="116" t="s">
        <v>32</v>
      </c>
      <c r="B179" s="23"/>
      <c r="C179" s="23"/>
      <c r="D179" s="23"/>
      <c r="E179" s="23"/>
      <c r="F179" s="12" t="s">
        <v>40</v>
      </c>
      <c r="G179" s="44">
        <v>4437</v>
      </c>
      <c r="H179" s="44">
        <v>5651</v>
      </c>
      <c r="I179" s="44">
        <v>5940</v>
      </c>
      <c r="J179" s="44">
        <v>4639.333333333333</v>
      </c>
      <c r="K179" s="44">
        <v>5044</v>
      </c>
      <c r="L179" s="44">
        <v>5448.666666666667</v>
      </c>
      <c r="M179" s="23"/>
      <c r="N179" s="23"/>
    </row>
    <row r="180" spans="1:14" x14ac:dyDescent="0.25">
      <c r="A180" s="116"/>
      <c r="B180" s="23"/>
      <c r="C180" s="23"/>
      <c r="D180" s="23"/>
      <c r="E180" s="23"/>
      <c r="F180" s="12"/>
      <c r="G180" s="44"/>
      <c r="H180" s="44"/>
      <c r="I180" s="44"/>
      <c r="J180" s="44"/>
      <c r="K180" s="44"/>
      <c r="L180" s="44"/>
      <c r="M180" s="23"/>
      <c r="N180" s="23"/>
    </row>
    <row r="182" spans="1:14" x14ac:dyDescent="0.25">
      <c r="K182" t="s">
        <v>503</v>
      </c>
      <c r="L182" t="s">
        <v>504</v>
      </c>
    </row>
    <row r="183" spans="1:14" x14ac:dyDescent="0.25">
      <c r="J183" s="462" t="str">
        <f t="shared" ref="J183:J186" si="9">B13</f>
        <v>Freeway</v>
      </c>
      <c r="K183" s="751">
        <v>0.21</v>
      </c>
      <c r="L183" s="751">
        <v>5.05</v>
      </c>
    </row>
    <row r="184" spans="1:14" x14ac:dyDescent="0.25">
      <c r="J184" s="462" t="str">
        <f t="shared" si="9"/>
        <v>Expressway</v>
      </c>
      <c r="K184" s="751">
        <v>0.34</v>
      </c>
      <c r="L184" s="44">
        <v>4</v>
      </c>
    </row>
    <row r="185" spans="1:14" x14ac:dyDescent="0.25">
      <c r="J185" s="462" t="str">
        <f t="shared" si="9"/>
        <v>Two-Way Arterial (Parking)</v>
      </c>
      <c r="K185" s="751">
        <v>1.1100000000000001</v>
      </c>
      <c r="L185" s="44">
        <v>5</v>
      </c>
    </row>
    <row r="186" spans="1:14" x14ac:dyDescent="0.25">
      <c r="J186" s="462" t="str">
        <f t="shared" si="9"/>
        <v>One-Way Arterial (Parking)</v>
      </c>
      <c r="K186" s="751">
        <v>0.96</v>
      </c>
      <c r="L186" s="44">
        <v>5</v>
      </c>
    </row>
    <row r="187" spans="1:14" x14ac:dyDescent="0.25">
      <c r="J187" s="462" t="str">
        <f>B18</f>
        <v>Collector</v>
      </c>
      <c r="K187" s="751">
        <f>K185</f>
        <v>1.1100000000000001</v>
      </c>
      <c r="L187" s="751">
        <f>L185</f>
        <v>5</v>
      </c>
    </row>
    <row r="188" spans="1:14" x14ac:dyDescent="0.25">
      <c r="J188" s="462" t="str">
        <f>B17</f>
        <v>Two-Way Arterial (No Parking)</v>
      </c>
      <c r="K188" s="751">
        <v>0.85</v>
      </c>
      <c r="L188" s="44">
        <v>5</v>
      </c>
    </row>
    <row r="189" spans="1:14" x14ac:dyDescent="0.25">
      <c r="J189" s="462" t="str">
        <f>B19</f>
        <v>Ramp</v>
      </c>
      <c r="K189" s="751">
        <v>0.34</v>
      </c>
      <c r="L189" s="44">
        <v>4</v>
      </c>
    </row>
    <row r="190" spans="1:14" x14ac:dyDescent="0.25">
      <c r="J190" s="462" t="str">
        <f>B20</f>
        <v>HOV (all classes)</v>
      </c>
      <c r="K190" s="751">
        <v>0.3</v>
      </c>
      <c r="L190" s="44">
        <v>8</v>
      </c>
    </row>
    <row r="191" spans="1:14" x14ac:dyDescent="0.25">
      <c r="J191" s="462" t="str">
        <f>B21</f>
        <v>Off-Ramp</v>
      </c>
      <c r="K191" s="751">
        <v>0.34</v>
      </c>
      <c r="L191" s="44">
        <v>4</v>
      </c>
    </row>
    <row r="192" spans="1:14" x14ac:dyDescent="0.25">
      <c r="J192" s="462" t="str">
        <f>B22</f>
        <v>On-Ramp</v>
      </c>
      <c r="K192" s="751">
        <v>0.34</v>
      </c>
      <c r="L192" s="44">
        <v>4</v>
      </c>
    </row>
    <row r="193" spans="1:16" x14ac:dyDescent="0.25">
      <c r="J193" s="462" t="str">
        <f>B23</f>
        <v>Freeway to Freeway Ramp</v>
      </c>
      <c r="K193" s="751">
        <v>0.34</v>
      </c>
      <c r="L193" s="44">
        <v>4</v>
      </c>
    </row>
    <row r="195" spans="1:16" s="462" customFormat="1" x14ac:dyDescent="0.25"/>
    <row r="196" spans="1:16" s="462" customFormat="1" ht="15.75" x14ac:dyDescent="0.25">
      <c r="A196" s="555" t="s">
        <v>422</v>
      </c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</row>
    <row r="197" spans="1:16" s="462" customFormat="1" x14ac:dyDescent="0.25"/>
    <row r="198" spans="1:16" s="462" customFormat="1" x14ac:dyDescent="0.25">
      <c r="A198" s="116"/>
      <c r="B198" s="543" t="s">
        <v>15</v>
      </c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</row>
    <row r="199" spans="1:16" s="462" customFormat="1" x14ac:dyDescent="0.25">
      <c r="A199" s="116"/>
      <c r="B199" s="544" t="s">
        <v>20</v>
      </c>
      <c r="C199" s="515" t="s">
        <v>13</v>
      </c>
      <c r="D199" s="116"/>
      <c r="E199" s="116"/>
      <c r="F199" s="116"/>
      <c r="G199" s="544" t="s">
        <v>43</v>
      </c>
      <c r="H199" s="23"/>
      <c r="I199" s="23"/>
      <c r="J199" s="23"/>
      <c r="K199" s="23"/>
      <c r="L199" s="23"/>
      <c r="M199" s="23"/>
      <c r="N199" s="116"/>
    </row>
    <row r="200" spans="1:16" s="462" customFormat="1" x14ac:dyDescent="0.25">
      <c r="A200" s="116"/>
      <c r="B200" s="515" t="s">
        <v>19</v>
      </c>
      <c r="C200" s="515" t="s">
        <v>16</v>
      </c>
      <c r="D200" s="545" t="s">
        <v>17</v>
      </c>
      <c r="E200" s="515" t="s">
        <v>18</v>
      </c>
      <c r="F200" s="116"/>
      <c r="G200" s="116"/>
      <c r="H200" s="514" t="s">
        <v>19</v>
      </c>
      <c r="I200" s="514" t="s">
        <v>16</v>
      </c>
      <c r="J200" s="516" t="s">
        <v>17</v>
      </c>
      <c r="K200" s="514" t="s">
        <v>18</v>
      </c>
      <c r="L200" s="23"/>
      <c r="M200" s="23"/>
      <c r="N200" s="116"/>
    </row>
    <row r="201" spans="1:16" s="462" customFormat="1" x14ac:dyDescent="0.25">
      <c r="A201" s="515" t="s">
        <v>14</v>
      </c>
      <c r="B201" s="515">
        <v>12000</v>
      </c>
      <c r="C201" s="23">
        <v>1.9E-3</v>
      </c>
      <c r="D201" s="23">
        <v>2.8999999999999998E-3</v>
      </c>
      <c r="E201" s="23">
        <v>3.8E-3</v>
      </c>
      <c r="F201" s="116"/>
      <c r="G201" s="515" t="s">
        <v>14</v>
      </c>
      <c r="H201" s="514">
        <v>12000</v>
      </c>
      <c r="I201" s="23">
        <v>1.04E-2</v>
      </c>
      <c r="J201" s="23">
        <v>1.55E-2</v>
      </c>
      <c r="K201" s="23">
        <v>2.07E-2</v>
      </c>
      <c r="L201" s="23"/>
      <c r="M201" s="23"/>
      <c r="N201" s="116"/>
    </row>
    <row r="202" spans="1:16" s="462" customFormat="1" x14ac:dyDescent="0.25">
      <c r="A202" s="116"/>
      <c r="B202" s="515">
        <v>24000</v>
      </c>
      <c r="C202" s="23">
        <v>1.4E-3</v>
      </c>
      <c r="D202" s="23">
        <v>2E-3</v>
      </c>
      <c r="E202" s="23">
        <v>2.7000000000000001E-3</v>
      </c>
      <c r="F202" s="116"/>
      <c r="G202" s="116"/>
      <c r="H202" s="514">
        <v>24000</v>
      </c>
      <c r="I202" s="23">
        <v>7.3000000000000001E-3</v>
      </c>
      <c r="J202" s="23">
        <v>1.09E-2</v>
      </c>
      <c r="K202" s="23">
        <v>1.4500000000000001E-2</v>
      </c>
      <c r="L202" s="23"/>
      <c r="M202" s="23"/>
      <c r="N202" s="116"/>
    </row>
    <row r="203" spans="1:16" s="462" customFormat="1" x14ac:dyDescent="0.25">
      <c r="A203" s="116"/>
      <c r="B203" s="515">
        <v>30000</v>
      </c>
      <c r="C203" s="23">
        <v>1E-3</v>
      </c>
      <c r="D203" s="23">
        <v>1.4E-3</v>
      </c>
      <c r="E203" s="23">
        <v>1.9E-3</v>
      </c>
      <c r="F203" s="116"/>
      <c r="G203" s="116"/>
      <c r="H203" s="514">
        <v>30000</v>
      </c>
      <c r="I203" s="23">
        <v>5.1999999999999998E-3</v>
      </c>
      <c r="J203" s="23">
        <v>7.7999999999999996E-3</v>
      </c>
      <c r="K203" s="23">
        <v>1.04E-2</v>
      </c>
      <c r="L203" s="23"/>
      <c r="M203" s="23"/>
      <c r="N203" s="116"/>
    </row>
    <row r="204" spans="1:16" s="462" customFormat="1" x14ac:dyDescent="0.25">
      <c r="A204" s="116"/>
      <c r="B204" s="515"/>
      <c r="C204" s="23"/>
      <c r="D204" s="23"/>
      <c r="E204" s="116"/>
      <c r="F204" s="116"/>
      <c r="G204" s="116"/>
      <c r="H204" s="514"/>
      <c r="I204" s="23"/>
      <c r="J204" s="23"/>
      <c r="K204" s="23"/>
      <c r="L204" s="23"/>
      <c r="M204" s="23"/>
      <c r="N204" s="116"/>
    </row>
    <row r="205" spans="1:16" s="462" customFormat="1" x14ac:dyDescent="0.25">
      <c r="A205" s="116"/>
      <c r="B205" s="116"/>
      <c r="C205" s="116"/>
      <c r="D205" s="116"/>
      <c r="E205" s="116"/>
      <c r="F205" s="116"/>
      <c r="G205" s="116"/>
      <c r="H205" s="23"/>
      <c r="I205" s="23"/>
      <c r="J205" s="23"/>
      <c r="K205" s="23"/>
      <c r="L205" s="23"/>
      <c r="M205" s="23"/>
      <c r="N205" s="116"/>
    </row>
    <row r="206" spans="1:16" s="462" customFormat="1" x14ac:dyDescent="0.25">
      <c r="A206" s="116"/>
      <c r="B206" s="543" t="s">
        <v>235</v>
      </c>
      <c r="C206" s="116"/>
      <c r="D206" s="116"/>
      <c r="E206" s="116"/>
      <c r="F206" s="116"/>
      <c r="G206" s="116"/>
      <c r="H206" s="23"/>
      <c r="I206" s="23"/>
      <c r="J206" s="23"/>
      <c r="K206" s="23"/>
      <c r="L206" s="23"/>
      <c r="M206" s="23"/>
      <c r="N206" s="116"/>
    </row>
    <row r="207" spans="1:16" s="462" customFormat="1" x14ac:dyDescent="0.25">
      <c r="A207" s="116"/>
      <c r="B207" s="116" t="s">
        <v>236</v>
      </c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</row>
    <row r="208" spans="1:16" s="462" customFormat="1" x14ac:dyDescent="0.25">
      <c r="A208" s="116"/>
      <c r="B208" s="116"/>
      <c r="C208" s="116" t="s">
        <v>237</v>
      </c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</row>
    <row r="209" spans="1:24" s="462" customFormat="1" x14ac:dyDescent="0.25">
      <c r="A209" s="116"/>
      <c r="B209" s="116" t="s">
        <v>238</v>
      </c>
      <c r="C209" s="23">
        <v>5.0000000000000001E-4</v>
      </c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</row>
    <row r="210" spans="1:24" s="462" customFormat="1" x14ac:dyDescent="0.25">
      <c r="A210" s="116"/>
      <c r="B210" s="116" t="s">
        <v>239</v>
      </c>
      <c r="C210" s="23">
        <v>1E-3</v>
      </c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</row>
    <row r="211" spans="1:24" s="462" customFormat="1" x14ac:dyDescent="0.25">
      <c r="A211" s="116"/>
      <c r="B211" s="116" t="s">
        <v>240</v>
      </c>
      <c r="C211" s="23">
        <v>1.5E-3</v>
      </c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</row>
    <row r="212" spans="1:24" s="462" customFormat="1" x14ac:dyDescent="0.25">
      <c r="A212" s="116"/>
      <c r="B212" s="116"/>
      <c r="C212" s="23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</row>
    <row r="213" spans="1:24" s="462" customFormat="1" x14ac:dyDescent="0.25">
      <c r="A213" s="116"/>
      <c r="B213" s="546" t="s">
        <v>241</v>
      </c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</row>
    <row r="214" spans="1:24" s="462" customFormat="1" x14ac:dyDescent="0.25">
      <c r="A214" s="116"/>
      <c r="B214" s="54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</row>
    <row r="215" spans="1:24" s="462" customFormat="1" x14ac:dyDescent="0.25">
      <c r="A215" s="116"/>
      <c r="B215" s="116" t="s">
        <v>41</v>
      </c>
      <c r="C215" s="515" t="s">
        <v>32</v>
      </c>
      <c r="D215" s="515" t="s">
        <v>21</v>
      </c>
      <c r="E215" s="514"/>
      <c r="F215" s="518" t="s">
        <v>33</v>
      </c>
      <c r="G215" s="116" t="s">
        <v>658</v>
      </c>
      <c r="H215" s="23"/>
      <c r="I215" s="23"/>
      <c r="J215" s="23"/>
      <c r="K215" s="23"/>
      <c r="L215" s="23"/>
      <c r="M215" s="116"/>
      <c r="N215" s="116"/>
    </row>
    <row r="216" spans="1:24" s="462" customFormat="1" x14ac:dyDescent="0.25">
      <c r="A216" s="116"/>
      <c r="B216" s="116"/>
      <c r="C216" s="515"/>
      <c r="D216" s="515"/>
      <c r="E216" s="514"/>
      <c r="F216" s="518"/>
      <c r="G216" s="116"/>
      <c r="H216" s="23"/>
      <c r="I216" s="23"/>
      <c r="J216" s="23"/>
      <c r="K216" s="23"/>
      <c r="L216" s="23"/>
      <c r="M216" s="116"/>
      <c r="N216" s="116"/>
    </row>
    <row r="217" spans="1:24" s="462" customFormat="1" x14ac:dyDescent="0.25">
      <c r="A217" s="116"/>
      <c r="B217" s="724" t="s">
        <v>27</v>
      </c>
      <c r="C217" s="756">
        <f>S220</f>
        <v>1.6985544412558642E-2</v>
      </c>
      <c r="D217" s="756">
        <f>T220</f>
        <v>3.3971088825117284E-2</v>
      </c>
      <c r="E217" s="519"/>
      <c r="F217" s="520" t="s">
        <v>34</v>
      </c>
      <c r="G217" s="116"/>
      <c r="H217" s="521"/>
      <c r="I217" s="521"/>
      <c r="J217" s="521"/>
      <c r="K217" s="522"/>
      <c r="L217" s="521"/>
      <c r="M217" s="116"/>
      <c r="N217" s="116"/>
    </row>
    <row r="218" spans="1:24" s="462" customFormat="1" x14ac:dyDescent="0.25">
      <c r="A218" s="116"/>
      <c r="B218" s="724" t="s">
        <v>660</v>
      </c>
      <c r="C218" s="756">
        <f t="shared" ref="C218:D221" si="10">S221</f>
        <v>1.6968995079457611E-2</v>
      </c>
      <c r="D218" s="756">
        <f t="shared" si="10"/>
        <v>3.3937990158915222E-2</v>
      </c>
      <c r="E218" s="519"/>
      <c r="F218" s="23"/>
      <c r="G218" s="24">
        <v>2005</v>
      </c>
      <c r="H218" s="24">
        <v>2035</v>
      </c>
      <c r="I218" s="24" t="s">
        <v>35</v>
      </c>
      <c r="J218" s="24">
        <v>2010</v>
      </c>
      <c r="K218" s="24">
        <v>2020</v>
      </c>
      <c r="L218" s="24">
        <v>2030</v>
      </c>
      <c r="M218" s="116"/>
      <c r="N218" s="116"/>
      <c r="O218" s="520" t="s">
        <v>659</v>
      </c>
      <c r="Q218" s="4"/>
    </row>
    <row r="219" spans="1:24" s="462" customFormat="1" x14ac:dyDescent="0.25">
      <c r="A219" s="116"/>
      <c r="B219" s="724" t="s">
        <v>494</v>
      </c>
      <c r="C219" s="756">
        <f t="shared" si="10"/>
        <v>1.5948378262255571E-2</v>
      </c>
      <c r="D219" s="756">
        <f t="shared" si="10"/>
        <v>3.1896756524511141E-2</v>
      </c>
      <c r="E219" s="116"/>
      <c r="F219" s="23"/>
      <c r="G219" s="24"/>
      <c r="H219" s="24"/>
      <c r="I219" s="24"/>
      <c r="J219" s="24"/>
      <c r="K219" s="24"/>
      <c r="L219" s="24"/>
      <c r="M219" s="116"/>
      <c r="N219" s="116"/>
      <c r="P219" s="462" t="s">
        <v>662</v>
      </c>
      <c r="Q219" s="462" t="s">
        <v>664</v>
      </c>
      <c r="R219" s="462" t="s">
        <v>665</v>
      </c>
      <c r="S219" s="462" t="s">
        <v>666</v>
      </c>
      <c r="T219" s="462" t="s">
        <v>667</v>
      </c>
      <c r="W219" s="462" t="s">
        <v>662</v>
      </c>
      <c r="X219" s="462" t="s">
        <v>663</v>
      </c>
    </row>
    <row r="220" spans="1:24" s="462" customFormat="1" x14ac:dyDescent="0.25">
      <c r="A220" s="116"/>
      <c r="B220" s="724" t="s">
        <v>661</v>
      </c>
      <c r="C220" s="756">
        <f t="shared" si="10"/>
        <v>1.7027059315920728E-2</v>
      </c>
      <c r="D220" s="756">
        <f t="shared" si="10"/>
        <v>3.4054118631841455E-2</v>
      </c>
      <c r="E220" s="116">
        <f>500/2</f>
        <v>250</v>
      </c>
      <c r="F220" s="12" t="s">
        <v>36</v>
      </c>
      <c r="G220" s="44">
        <v>11422</v>
      </c>
      <c r="H220" s="44">
        <v>13798</v>
      </c>
      <c r="I220" s="44">
        <v>16191</v>
      </c>
      <c r="J220" s="44">
        <v>11818</v>
      </c>
      <c r="K220" s="44">
        <v>12610</v>
      </c>
      <c r="L220" s="44">
        <v>13402</v>
      </c>
      <c r="M220" s="116"/>
      <c r="N220" s="116"/>
      <c r="O220" s="462" t="s">
        <v>27</v>
      </c>
      <c r="P220" s="100">
        <v>2821</v>
      </c>
      <c r="Q220" s="752">
        <f>TREND(X221:X222,W221:W222,P220,TRUE)</f>
        <v>9755.7465714285718</v>
      </c>
      <c r="R220" s="754">
        <f>$X$220/Q220</f>
        <v>0.84927722062793198</v>
      </c>
      <c r="S220" s="755">
        <f>R220*0.02</f>
        <v>1.6985544412558642E-2</v>
      </c>
      <c r="T220" s="755">
        <f>R220*0.04</f>
        <v>3.3971088825117284E-2</v>
      </c>
      <c r="V220" s="544" t="s">
        <v>27</v>
      </c>
      <c r="W220" s="462">
        <f>E224</f>
        <v>7000</v>
      </c>
      <c r="X220" s="752">
        <f>J224</f>
        <v>8285.3333333333339</v>
      </c>
    </row>
    <row r="221" spans="1:24" s="462" customFormat="1" x14ac:dyDescent="0.25">
      <c r="A221" s="116"/>
      <c r="B221" s="724" t="s">
        <v>30</v>
      </c>
      <c r="C221" s="756">
        <f t="shared" si="10"/>
        <v>1.4021549049472557E-2</v>
      </c>
      <c r="D221" s="756">
        <f t="shared" si="10"/>
        <v>2.8043098098945115E-2</v>
      </c>
      <c r="E221" s="23">
        <f>MEDIAN(500,2000)</f>
        <v>1250</v>
      </c>
      <c r="F221" s="12" t="s">
        <v>37</v>
      </c>
      <c r="G221" s="44">
        <v>10083</v>
      </c>
      <c r="H221" s="44">
        <v>12196</v>
      </c>
      <c r="I221" s="44">
        <v>14359</v>
      </c>
      <c r="J221" s="44">
        <v>10435.166666666666</v>
      </c>
      <c r="K221" s="44">
        <v>11139.5</v>
      </c>
      <c r="L221" s="44">
        <v>11843.833333333334</v>
      </c>
      <c r="M221" s="23"/>
      <c r="N221" s="116"/>
      <c r="O221" s="462" t="s">
        <v>660</v>
      </c>
      <c r="P221" s="100">
        <v>2799</v>
      </c>
      <c r="Q221" s="752">
        <f>TREND(X221:X222,W221:W222,P221,TRUE)</f>
        <v>9765.2610476190475</v>
      </c>
      <c r="R221" s="754">
        <f>$X$220/Q221</f>
        <v>0.84844975397288047</v>
      </c>
      <c r="S221" s="755">
        <f t="shared" ref="S221:S224" si="11">R221*0.02</f>
        <v>1.6968995079457611E-2</v>
      </c>
      <c r="T221" s="755">
        <f t="shared" ref="T221:T224" si="12">R221*0.04</f>
        <v>3.3937990158915222E-2</v>
      </c>
      <c r="V221" s="544" t="s">
        <v>28</v>
      </c>
      <c r="W221" s="462">
        <f>E223</f>
        <v>3000</v>
      </c>
      <c r="X221" s="752">
        <f>J223</f>
        <v>9678.3333333333339</v>
      </c>
    </row>
    <row r="222" spans="1:24" s="462" customFormat="1" x14ac:dyDescent="0.25">
      <c r="A222" s="116"/>
      <c r="B222" s="116"/>
      <c r="C222" s="116"/>
      <c r="D222" s="116"/>
      <c r="E222" s="116"/>
      <c r="F222" s="12"/>
      <c r="G222" s="44"/>
      <c r="H222" s="44"/>
      <c r="I222" s="44"/>
      <c r="J222" s="44"/>
      <c r="K222" s="44"/>
      <c r="L222" s="44"/>
      <c r="M222" s="116"/>
      <c r="N222" s="116"/>
      <c r="O222" s="462" t="s">
        <v>494</v>
      </c>
      <c r="P222" s="100">
        <v>1354</v>
      </c>
      <c r="Q222" s="752">
        <f>TREND(X221:X222,W221:W222,P222,TRUE)</f>
        <v>10390.189142857142</v>
      </c>
      <c r="R222" s="754">
        <f>$X$220/Q222</f>
        <v>0.79741891311277857</v>
      </c>
      <c r="S222" s="755">
        <f t="shared" si="11"/>
        <v>1.5948378262255571E-2</v>
      </c>
      <c r="T222" s="755">
        <f t="shared" si="12"/>
        <v>3.1896756524511141E-2</v>
      </c>
      <c r="V222" s="544" t="s">
        <v>29</v>
      </c>
      <c r="W222" s="462">
        <f>E221</f>
        <v>1250</v>
      </c>
      <c r="X222" s="752">
        <f>J221</f>
        <v>10435.166666666666</v>
      </c>
    </row>
    <row r="223" spans="1:24" s="462" customFormat="1" x14ac:dyDescent="0.25">
      <c r="A223" s="116"/>
      <c r="B223" s="116"/>
      <c r="C223" s="116"/>
      <c r="D223" s="116"/>
      <c r="E223" s="116">
        <f>MEDIAN(4000,2000)</f>
        <v>3000</v>
      </c>
      <c r="F223" s="12" t="s">
        <v>38</v>
      </c>
      <c r="G223" s="44">
        <v>9345</v>
      </c>
      <c r="H223" s="44">
        <v>11345</v>
      </c>
      <c r="I223" s="44">
        <v>13406</v>
      </c>
      <c r="J223" s="44">
        <v>9678.3333333333339</v>
      </c>
      <c r="K223" s="44">
        <v>10345</v>
      </c>
      <c r="L223" s="44">
        <v>11011.666666666666</v>
      </c>
      <c r="M223" s="116"/>
      <c r="N223" s="116"/>
      <c r="O223" s="462" t="s">
        <v>661</v>
      </c>
      <c r="P223" s="100">
        <v>2876</v>
      </c>
      <c r="Q223" s="752">
        <f>TREND(X221:X222,W221:W222,P223,TRUE)</f>
        <v>9731.9603809523815</v>
      </c>
      <c r="R223" s="754">
        <f>$X$220/Q223</f>
        <v>0.85135296579603637</v>
      </c>
      <c r="S223" s="755">
        <f t="shared" si="11"/>
        <v>1.7027059315920728E-2</v>
      </c>
      <c r="T223" s="755">
        <f t="shared" si="12"/>
        <v>3.4054118631841455E-2</v>
      </c>
      <c r="V223" s="544" t="s">
        <v>189</v>
      </c>
      <c r="W223" s="462">
        <f>E220</f>
        <v>250</v>
      </c>
      <c r="X223" s="752">
        <f>J220</f>
        <v>11818</v>
      </c>
    </row>
    <row r="224" spans="1:24" s="462" customFormat="1" x14ac:dyDescent="0.25">
      <c r="A224" s="116"/>
      <c r="B224" s="116"/>
      <c r="C224" s="116"/>
      <c r="D224" s="116"/>
      <c r="E224" s="116">
        <f>MEDIAN(4000,10000)</f>
        <v>7000</v>
      </c>
      <c r="F224" s="12" t="s">
        <v>39</v>
      </c>
      <c r="G224" s="44">
        <v>7986</v>
      </c>
      <c r="H224" s="44">
        <v>9782</v>
      </c>
      <c r="I224" s="44">
        <v>11651</v>
      </c>
      <c r="J224" s="44">
        <v>8285.3333333333339</v>
      </c>
      <c r="K224" s="44">
        <v>8884</v>
      </c>
      <c r="L224" s="44">
        <v>9482.6666666666661</v>
      </c>
      <c r="M224" s="116"/>
      <c r="N224" s="116"/>
      <c r="O224" s="462" t="s">
        <v>30</v>
      </c>
      <c r="P224" s="100">
        <v>121</v>
      </c>
      <c r="Q224" s="752">
        <f>X223</f>
        <v>11818</v>
      </c>
      <c r="R224" s="754">
        <f>$X$220/Q224</f>
        <v>0.70107745247362785</v>
      </c>
      <c r="S224" s="755">
        <f t="shared" si="11"/>
        <v>1.4021549049472557E-2</v>
      </c>
      <c r="T224" s="755">
        <f t="shared" si="12"/>
        <v>2.8043098098945115E-2</v>
      </c>
    </row>
    <row r="225" spans="1:21" s="462" customFormat="1" x14ac:dyDescent="0.25">
      <c r="A225" s="116"/>
      <c r="B225" s="116"/>
      <c r="C225" s="116"/>
      <c r="D225" s="116"/>
      <c r="E225" s="116"/>
      <c r="F225" s="12" t="s">
        <v>40</v>
      </c>
      <c r="G225" s="44">
        <v>4437</v>
      </c>
      <c r="H225" s="44">
        <v>5651</v>
      </c>
      <c r="I225" s="44">
        <v>5940</v>
      </c>
      <c r="J225" s="44">
        <v>4639.333333333333</v>
      </c>
      <c r="K225" s="44">
        <v>5044</v>
      </c>
      <c r="L225" s="44">
        <v>5448.666666666667</v>
      </c>
      <c r="M225" s="116"/>
      <c r="N225" s="116"/>
      <c r="U225" s="753"/>
    </row>
    <row r="226" spans="1:21" s="462" customFormat="1" x14ac:dyDescent="0.25">
      <c r="U226" s="754"/>
    </row>
    <row r="227" spans="1:21" x14ac:dyDescent="0.25">
      <c r="K227" s="462"/>
      <c r="L227" s="462"/>
      <c r="M227" s="462"/>
      <c r="N227" s="462"/>
      <c r="O227" s="462"/>
      <c r="P227" s="462"/>
    </row>
    <row r="228" spans="1:21" s="462" customFormat="1" x14ac:dyDescent="0.25"/>
    <row r="229" spans="1:21" ht="15.75" x14ac:dyDescent="0.25">
      <c r="A229" s="555" t="s">
        <v>362</v>
      </c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</row>
    <row r="230" spans="1:21" s="172" customFormat="1" x14ac:dyDescent="0.25"/>
    <row r="231" spans="1:21" s="172" customFormat="1" x14ac:dyDescent="0.25">
      <c r="A231" s="116" t="s">
        <v>21</v>
      </c>
      <c r="B231" s="23"/>
      <c r="C231" s="23"/>
      <c r="D231" s="1040" t="s">
        <v>150</v>
      </c>
      <c r="E231" s="1040"/>
      <c r="F231" s="1040"/>
      <c r="G231" s="1040"/>
      <c r="H231" s="1040"/>
      <c r="I231" s="1040"/>
      <c r="J231" s="1040"/>
      <c r="K231" s="23"/>
      <c r="L231" s="23"/>
      <c r="M231" s="23"/>
      <c r="N231" s="23" t="s">
        <v>143</v>
      </c>
      <c r="O231" s="116"/>
      <c r="P231" s="116">
        <v>2011</v>
      </c>
      <c r="Q231" s="116"/>
    </row>
    <row r="232" spans="1:21" s="172" customFormat="1" x14ac:dyDescent="0.25">
      <c r="A232" s="116" t="s">
        <v>32</v>
      </c>
      <c r="B232" s="23"/>
      <c r="C232" s="23"/>
      <c r="D232" s="536" t="s">
        <v>151</v>
      </c>
      <c r="E232" s="536" t="s">
        <v>152</v>
      </c>
      <c r="F232" s="536" t="s">
        <v>153</v>
      </c>
      <c r="G232" s="536" t="s">
        <v>154</v>
      </c>
      <c r="H232" s="536" t="s">
        <v>155</v>
      </c>
      <c r="I232" s="536"/>
      <c r="J232" s="23"/>
      <c r="K232" s="23"/>
      <c r="L232" s="23"/>
      <c r="M232" s="23"/>
      <c r="N232" s="23" t="s">
        <v>144</v>
      </c>
      <c r="O232" s="116"/>
      <c r="P232" s="116">
        <v>2012</v>
      </c>
      <c r="Q232" s="116"/>
    </row>
    <row r="233" spans="1:21" s="172" customFormat="1" ht="30" x14ac:dyDescent="0.25">
      <c r="A233" s="116"/>
      <c r="B233" s="1041"/>
      <c r="C233" s="23" t="s">
        <v>143</v>
      </c>
      <c r="D233" s="537">
        <v>0.21</v>
      </c>
      <c r="E233" s="537">
        <v>0.33</v>
      </c>
      <c r="F233" s="537">
        <v>0.26</v>
      </c>
      <c r="G233" s="536">
        <v>0.41</v>
      </c>
      <c r="H233" s="536">
        <v>0.05</v>
      </c>
      <c r="I233" s="536"/>
      <c r="J233" s="23" t="s">
        <v>143</v>
      </c>
      <c r="K233" s="536" t="s">
        <v>142</v>
      </c>
      <c r="L233" s="23" t="s">
        <v>28</v>
      </c>
      <c r="M233" s="23"/>
      <c r="N233" s="23" t="s">
        <v>29</v>
      </c>
      <c r="O233" s="116"/>
      <c r="P233" s="116">
        <v>2013</v>
      </c>
      <c r="Q233" s="116"/>
    </row>
    <row r="234" spans="1:21" s="172" customFormat="1" x14ac:dyDescent="0.25">
      <c r="A234" s="116"/>
      <c r="B234" s="1041"/>
      <c r="C234" s="23" t="s">
        <v>144</v>
      </c>
      <c r="D234" s="537">
        <v>0.4</v>
      </c>
      <c r="E234" s="537">
        <v>0.28999999999999998</v>
      </c>
      <c r="F234" s="537">
        <v>0.5</v>
      </c>
      <c r="G234" s="537">
        <v>0.48</v>
      </c>
      <c r="H234" s="536">
        <v>0.81</v>
      </c>
      <c r="I234" s="536"/>
      <c r="J234" s="23"/>
      <c r="K234" s="536" t="s">
        <v>143</v>
      </c>
      <c r="L234" s="23" t="s">
        <v>28</v>
      </c>
      <c r="M234" s="23"/>
      <c r="N234" s="23" t="s">
        <v>30</v>
      </c>
      <c r="O234" s="116"/>
      <c r="P234" s="116">
        <v>2014</v>
      </c>
      <c r="Q234" s="116"/>
    </row>
    <row r="235" spans="1:21" s="172" customFormat="1" ht="30" x14ac:dyDescent="0.25">
      <c r="A235" s="116"/>
      <c r="B235" s="1041"/>
      <c r="C235" s="23" t="s">
        <v>29</v>
      </c>
      <c r="D235" s="537">
        <v>0.3</v>
      </c>
      <c r="E235" s="537">
        <v>0.44</v>
      </c>
      <c r="F235" s="537">
        <v>0.51</v>
      </c>
      <c r="G235" s="538">
        <v>0.49</v>
      </c>
      <c r="H235" s="23">
        <v>1.1599999999999999</v>
      </c>
      <c r="I235" s="23"/>
      <c r="J235" s="23" t="s">
        <v>144</v>
      </c>
      <c r="K235" s="536" t="s">
        <v>144</v>
      </c>
      <c r="L235" s="23" t="s">
        <v>160</v>
      </c>
      <c r="M235" s="23"/>
      <c r="N235" s="23"/>
      <c r="O235" s="116"/>
      <c r="P235" s="116">
        <v>2015</v>
      </c>
      <c r="Q235" s="116"/>
    </row>
    <row r="236" spans="1:21" s="172" customFormat="1" x14ac:dyDescent="0.25">
      <c r="A236" s="116"/>
      <c r="B236" s="1041"/>
      <c r="C236" s="23" t="s">
        <v>30</v>
      </c>
      <c r="D236" s="537">
        <v>1.74</v>
      </c>
      <c r="E236" s="537">
        <v>1.08</v>
      </c>
      <c r="F236" s="537">
        <v>0.66</v>
      </c>
      <c r="G236" s="537">
        <v>1.08</v>
      </c>
      <c r="H236" s="538">
        <v>3.77</v>
      </c>
      <c r="I236" s="538"/>
      <c r="J236" s="23"/>
      <c r="K236" s="536" t="s">
        <v>146</v>
      </c>
      <c r="L236" s="23" t="s">
        <v>160</v>
      </c>
      <c r="M236" s="23"/>
      <c r="N236" s="23"/>
      <c r="O236" s="116"/>
      <c r="P236" s="116">
        <v>2016</v>
      </c>
      <c r="Q236" s="116"/>
    </row>
    <row r="237" spans="1:21" s="172" customFormat="1" x14ac:dyDescent="0.25">
      <c r="A237" s="116"/>
      <c r="B237" s="1041"/>
      <c r="C237" s="537"/>
      <c r="D237" s="537"/>
      <c r="E237" s="537"/>
      <c r="F237" s="537"/>
      <c r="G237" s="537"/>
      <c r="H237" s="538"/>
      <c r="I237" s="538"/>
      <c r="J237" s="23" t="s">
        <v>29</v>
      </c>
      <c r="K237" s="536" t="s">
        <v>29</v>
      </c>
      <c r="L237" s="23" t="s">
        <v>159</v>
      </c>
      <c r="M237" s="23"/>
      <c r="N237" s="23"/>
      <c r="O237" s="116"/>
      <c r="P237" s="116">
        <v>2017</v>
      </c>
      <c r="Q237" s="116"/>
    </row>
    <row r="238" spans="1:21" s="172" customFormat="1" x14ac:dyDescent="0.25">
      <c r="A238" s="116" t="s">
        <v>203</v>
      </c>
      <c r="B238" s="23" t="s">
        <v>4</v>
      </c>
      <c r="C238" s="537"/>
      <c r="D238" s="537"/>
      <c r="E238" s="537"/>
      <c r="F238" s="537"/>
      <c r="G238" s="537"/>
      <c r="H238" s="538"/>
      <c r="I238" s="538"/>
      <c r="J238" s="23" t="s">
        <v>30</v>
      </c>
      <c r="K238" s="536" t="s">
        <v>145</v>
      </c>
      <c r="L238" s="23" t="s">
        <v>157</v>
      </c>
      <c r="M238" s="23"/>
      <c r="N238" s="23"/>
      <c r="O238" s="116"/>
      <c r="P238" s="116">
        <v>2018</v>
      </c>
      <c r="Q238" s="116"/>
    </row>
    <row r="239" spans="1:21" s="172" customFormat="1" x14ac:dyDescent="0.25">
      <c r="A239" s="539" t="s">
        <v>201</v>
      </c>
      <c r="B239" s="23" t="s">
        <v>5</v>
      </c>
      <c r="C239" s="537"/>
      <c r="D239" s="537"/>
      <c r="E239" s="537"/>
      <c r="F239" s="537"/>
      <c r="G239" s="537"/>
      <c r="H239" s="538"/>
      <c r="I239" s="538"/>
      <c r="J239" s="116"/>
      <c r="K239" s="540" t="s">
        <v>30</v>
      </c>
      <c r="L239" s="116" t="s">
        <v>157</v>
      </c>
      <c r="M239" s="116"/>
      <c r="N239" s="116"/>
      <c r="O239" s="116"/>
      <c r="P239" s="116">
        <v>2019</v>
      </c>
      <c r="Q239" s="116"/>
    </row>
    <row r="240" spans="1:21" s="172" customFormat="1" x14ac:dyDescent="0.25">
      <c r="A240" s="539" t="s">
        <v>202</v>
      </c>
      <c r="B240" s="23" t="s">
        <v>6</v>
      </c>
      <c r="C240" s="537"/>
      <c r="D240" s="537"/>
      <c r="E240" s="537"/>
      <c r="F240" s="537"/>
      <c r="G240" s="537"/>
      <c r="H240" s="538"/>
      <c r="I240" s="538"/>
      <c r="J240" s="116"/>
      <c r="K240" s="116"/>
      <c r="L240" s="116"/>
      <c r="M240" s="116"/>
      <c r="N240" s="116"/>
      <c r="O240" s="116"/>
      <c r="P240" s="116"/>
      <c r="Q240" s="116"/>
    </row>
    <row r="241" spans="1:17" s="172" customFormat="1" x14ac:dyDescent="0.25">
      <c r="A241" s="116" t="s">
        <v>242</v>
      </c>
      <c r="B241" s="23" t="s">
        <v>7</v>
      </c>
      <c r="C241" s="537"/>
      <c r="D241" s="537"/>
      <c r="E241" s="537"/>
      <c r="F241" s="537"/>
      <c r="G241" s="537"/>
      <c r="H241" s="538"/>
      <c r="I241" s="538"/>
      <c r="J241" s="116"/>
      <c r="K241" s="116"/>
      <c r="L241" s="116"/>
      <c r="M241" s="116"/>
      <c r="N241" s="116"/>
      <c r="O241" s="116"/>
      <c r="P241" s="116"/>
      <c r="Q241" s="116"/>
    </row>
    <row r="242" spans="1:17" s="172" customFormat="1" x14ac:dyDescent="0.25">
      <c r="A242" s="116" t="s">
        <v>243</v>
      </c>
      <c r="B242" s="23" t="s">
        <v>8</v>
      </c>
      <c r="C242" s="23"/>
      <c r="D242" s="23"/>
      <c r="E242" s="116"/>
      <c r="F242" s="537"/>
      <c r="G242" s="537"/>
      <c r="H242" s="538"/>
      <c r="I242" s="538"/>
      <c r="J242" s="116"/>
      <c r="K242" s="116"/>
      <c r="L242" s="116"/>
      <c r="M242" s="116"/>
      <c r="N242" s="116"/>
      <c r="O242" s="116"/>
      <c r="P242" s="116"/>
      <c r="Q242" s="116"/>
    </row>
    <row r="243" spans="1:17" s="172" customFormat="1" x14ac:dyDescent="0.25">
      <c r="A243" s="116" t="s">
        <v>244</v>
      </c>
      <c r="B243" s="23" t="s">
        <v>252</v>
      </c>
      <c r="C243" s="23"/>
      <c r="D243" s="514"/>
      <c r="E243" s="116"/>
      <c r="F243" s="537"/>
      <c r="G243" s="537"/>
      <c r="H243" s="538"/>
      <c r="I243" s="538"/>
      <c r="J243" s="116"/>
      <c r="K243" s="116"/>
      <c r="L243" s="116"/>
      <c r="M243" s="116"/>
      <c r="N243" s="116"/>
      <c r="O243" s="116"/>
      <c r="P243" s="116"/>
      <c r="Q243" s="116"/>
    </row>
    <row r="244" spans="1:17" s="172" customFormat="1" x14ac:dyDescent="0.25">
      <c r="A244" s="116"/>
      <c r="B244" s="23"/>
    </row>
    <row r="245" spans="1:17" x14ac:dyDescent="0.25">
      <c r="A245" s="116" t="s">
        <v>616</v>
      </c>
    </row>
    <row r="246" spans="1:17" x14ac:dyDescent="0.25">
      <c r="A246" s="116" t="s">
        <v>617</v>
      </c>
    </row>
    <row r="263" spans="1:16" ht="15.75" x14ac:dyDescent="0.25">
      <c r="A263" s="555" t="s">
        <v>421</v>
      </c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</row>
    <row r="264" spans="1:16" x14ac:dyDescent="0.25">
      <c r="H264" s="172"/>
      <c r="K264" s="462"/>
      <c r="L264" s="462"/>
      <c r="M264" s="462"/>
      <c r="N264" s="462"/>
      <c r="O264" s="462"/>
      <c r="P264" s="462"/>
    </row>
    <row r="265" spans="1:16" x14ac:dyDescent="0.25">
      <c r="A265" s="116" t="s">
        <v>21</v>
      </c>
      <c r="K265" s="462"/>
      <c r="L265" s="462"/>
      <c r="M265" s="462"/>
      <c r="N265" s="462"/>
      <c r="O265" s="462"/>
      <c r="P265" s="462"/>
    </row>
    <row r="266" spans="1:16" x14ac:dyDescent="0.25">
      <c r="A266" s="116" t="s">
        <v>32</v>
      </c>
      <c r="K266" s="462"/>
      <c r="L266" s="462"/>
      <c r="M266" s="462"/>
      <c r="N266" s="462"/>
      <c r="O266" s="462"/>
      <c r="P266" s="462"/>
    </row>
    <row r="267" spans="1:16" x14ac:dyDescent="0.25">
      <c r="K267" s="462"/>
      <c r="L267" s="462"/>
      <c r="M267" s="462"/>
      <c r="N267" s="462"/>
      <c r="O267" s="462"/>
      <c r="P267" s="462"/>
    </row>
    <row r="270" spans="1:16" s="462" customFormat="1" ht="15.75" x14ac:dyDescent="0.25">
      <c r="A270" s="555" t="s">
        <v>514</v>
      </c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</row>
    <row r="274" spans="1:16" s="462" customFormat="1" x14ac:dyDescent="0.25">
      <c r="B274" s="4" t="s">
        <v>515</v>
      </c>
      <c r="H274" s="462" t="s">
        <v>557</v>
      </c>
    </row>
    <row r="275" spans="1:16" x14ac:dyDescent="0.25">
      <c r="B275" s="4"/>
      <c r="C275" s="36"/>
      <c r="E275" s="133" t="s">
        <v>492</v>
      </c>
      <c r="F275" s="579">
        <v>0.6</v>
      </c>
      <c r="G275" s="36"/>
      <c r="H275">
        <v>1</v>
      </c>
    </row>
    <row r="276" spans="1:16" x14ac:dyDescent="0.25">
      <c r="B276" s="462" t="s">
        <v>505</v>
      </c>
      <c r="C276" s="131">
        <v>1</v>
      </c>
      <c r="E276" s="133" t="s">
        <v>493</v>
      </c>
      <c r="F276" s="580">
        <v>0.5</v>
      </c>
      <c r="G276" s="100"/>
      <c r="H276">
        <v>2</v>
      </c>
    </row>
    <row r="277" spans="1:16" x14ac:dyDescent="0.25">
      <c r="B277" s="462" t="s">
        <v>506</v>
      </c>
      <c r="C277" s="131">
        <v>0.7</v>
      </c>
      <c r="E277" s="133" t="s">
        <v>494</v>
      </c>
      <c r="F277" s="580">
        <v>0.4</v>
      </c>
      <c r="G277" s="100"/>
      <c r="H277">
        <v>3</v>
      </c>
    </row>
    <row r="278" spans="1:16" x14ac:dyDescent="0.25">
      <c r="B278" s="462" t="s">
        <v>507</v>
      </c>
      <c r="C278" s="131">
        <v>0.55000000000000004</v>
      </c>
      <c r="E278" s="133" t="s">
        <v>495</v>
      </c>
      <c r="F278" s="580">
        <v>0.35</v>
      </c>
      <c r="G278" s="100"/>
      <c r="H278" s="15" t="s">
        <v>528</v>
      </c>
    </row>
    <row r="279" spans="1:16" x14ac:dyDescent="0.25">
      <c r="B279" s="462" t="s">
        <v>508</v>
      </c>
      <c r="C279" s="131">
        <v>0.6</v>
      </c>
      <c r="E279" s="133" t="s">
        <v>30</v>
      </c>
      <c r="F279" s="580">
        <v>0.3</v>
      </c>
      <c r="G279" s="100"/>
    </row>
    <row r="280" spans="1:16" x14ac:dyDescent="0.25">
      <c r="B280" s="462" t="s">
        <v>509</v>
      </c>
      <c r="C280" s="131">
        <v>0.55000000000000004</v>
      </c>
      <c r="D280" s="578"/>
      <c r="E280" s="100"/>
      <c r="F280" s="100"/>
      <c r="G280" s="100"/>
    </row>
    <row r="281" spans="1:16" x14ac:dyDescent="0.25">
      <c r="B281" t="s">
        <v>657</v>
      </c>
      <c r="C281" s="131">
        <f>C278</f>
        <v>0.55000000000000004</v>
      </c>
      <c r="E281" s="100"/>
      <c r="F281" s="100"/>
      <c r="G281" s="100"/>
    </row>
    <row r="282" spans="1:16" x14ac:dyDescent="0.25">
      <c r="B282" s="462" t="s">
        <v>496</v>
      </c>
      <c r="C282" s="131">
        <v>0.5</v>
      </c>
      <c r="D282" s="100"/>
      <c r="E282" s="100"/>
      <c r="F282" s="100"/>
      <c r="G282" s="100"/>
    </row>
    <row r="283" spans="1:16" x14ac:dyDescent="0.25">
      <c r="B283" s="462" t="s">
        <v>497</v>
      </c>
      <c r="C283" s="131">
        <v>1</v>
      </c>
      <c r="D283" s="100"/>
      <c r="E283" s="100"/>
      <c r="F283" s="100"/>
      <c r="G283" s="100"/>
    </row>
    <row r="284" spans="1:16" x14ac:dyDescent="0.25">
      <c r="B284" s="462" t="s">
        <v>498</v>
      </c>
      <c r="C284" s="131">
        <v>0.5</v>
      </c>
      <c r="D284" s="100"/>
      <c r="E284" s="100"/>
      <c r="F284" s="100"/>
      <c r="G284" s="100"/>
    </row>
    <row r="285" spans="1:16" x14ac:dyDescent="0.25">
      <c r="B285" s="462" t="s">
        <v>499</v>
      </c>
      <c r="C285" s="131">
        <v>0.5</v>
      </c>
      <c r="D285" s="100"/>
      <c r="E285" s="100"/>
      <c r="F285" s="100"/>
      <c r="G285" s="100"/>
    </row>
    <row r="286" spans="1:16" x14ac:dyDescent="0.25">
      <c r="B286" s="462" t="s">
        <v>563</v>
      </c>
      <c r="C286" s="131">
        <v>0.5</v>
      </c>
      <c r="D286" s="100"/>
      <c r="E286" s="100"/>
      <c r="F286" s="100"/>
      <c r="G286" s="100"/>
    </row>
    <row r="288" spans="1:16" s="724" customFormat="1" ht="15.75" x14ac:dyDescent="0.25">
      <c r="A288" s="555" t="s">
        <v>670</v>
      </c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</row>
    <row r="290" spans="1:6" x14ac:dyDescent="0.25">
      <c r="A290" t="s">
        <v>668</v>
      </c>
    </row>
    <row r="291" spans="1:6" x14ac:dyDescent="0.25">
      <c r="A291" t="s">
        <v>669</v>
      </c>
      <c r="D291" t="s">
        <v>676</v>
      </c>
    </row>
    <row r="292" spans="1:6" x14ac:dyDescent="0.25">
      <c r="A292" t="s">
        <v>686</v>
      </c>
      <c r="C292" t="s">
        <v>677</v>
      </c>
      <c r="D292">
        <v>1</v>
      </c>
      <c r="E292">
        <v>2</v>
      </c>
    </row>
    <row r="293" spans="1:6" x14ac:dyDescent="0.25">
      <c r="C293">
        <v>1</v>
      </c>
      <c r="D293">
        <v>-1E-3</v>
      </c>
      <c r="E293">
        <v>-1E-3</v>
      </c>
    </row>
    <row r="294" spans="1:6" x14ac:dyDescent="0.25">
      <c r="A294">
        <v>0</v>
      </c>
      <c r="C294">
        <v>2</v>
      </c>
      <c r="D294">
        <v>-6.9999999999999999E-4</v>
      </c>
      <c r="E294">
        <f>F296</f>
        <v>-7.5000000000000002E-4</v>
      </c>
    </row>
    <row r="295" spans="1:6" x14ac:dyDescent="0.25">
      <c r="A295">
        <v>1</v>
      </c>
      <c r="E295" t="s">
        <v>97</v>
      </c>
      <c r="F295" t="s">
        <v>96</v>
      </c>
    </row>
    <row r="296" spans="1:6" x14ac:dyDescent="0.25">
      <c r="A296">
        <v>2</v>
      </c>
      <c r="E296">
        <v>-6.9999999999999999E-4</v>
      </c>
      <c r="F296">
        <v>-7.5000000000000002E-4</v>
      </c>
    </row>
  </sheetData>
  <mergeCells count="3">
    <mergeCell ref="D231:J231"/>
    <mergeCell ref="B233:B237"/>
    <mergeCell ref="A43:A44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FB39DD-E442-4DB1-9719-5F385CD1ADDB}">
            <xm:f>'2.4_Roundabout'!$G$9=OR($A$290,$A$291)</xm:f>
            <x14:dxf/>
          </x14:cfRule>
          <xm:sqref>D34:I37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81"/>
  <sheetViews>
    <sheetView showGridLines="0" zoomScale="80" zoomScaleNormal="80" workbookViewId="0">
      <selection activeCell="D81" sqref="A1:D81"/>
    </sheetView>
  </sheetViews>
  <sheetFormatPr defaultRowHeight="15" x14ac:dyDescent="0.25"/>
  <cols>
    <col min="1" max="1" width="68.42578125" bestFit="1" customWidth="1"/>
    <col min="2" max="2" width="20.42578125" style="15" customWidth="1"/>
    <col min="3" max="3" width="14.28515625" customWidth="1"/>
    <col min="4" max="4" width="150.28515625" customWidth="1"/>
  </cols>
  <sheetData>
    <row r="1" spans="1:5" ht="28.5" x14ac:dyDescent="0.25">
      <c r="A1" s="164" t="s">
        <v>312</v>
      </c>
      <c r="B1" s="376"/>
      <c r="C1" s="160"/>
      <c r="D1" s="161"/>
    </row>
    <row r="2" spans="1:5" x14ac:dyDescent="0.25">
      <c r="A2" s="162" t="s">
        <v>313</v>
      </c>
      <c r="B2" s="377" t="s">
        <v>314</v>
      </c>
      <c r="C2" s="163" t="s">
        <v>315</v>
      </c>
      <c r="D2" s="159" t="s">
        <v>316</v>
      </c>
    </row>
    <row r="3" spans="1:5" s="462" customFormat="1" x14ac:dyDescent="0.25">
      <c r="A3" s="1044" t="s">
        <v>381</v>
      </c>
      <c r="B3" s="1045"/>
      <c r="C3" s="1045"/>
      <c r="D3" s="1046"/>
    </row>
    <row r="4" spans="1:5" s="462" customFormat="1" ht="30" x14ac:dyDescent="0.25">
      <c r="A4" s="175" t="s">
        <v>382</v>
      </c>
      <c r="B4" s="233" t="s">
        <v>384</v>
      </c>
      <c r="C4" s="175"/>
      <c r="D4" s="435" t="s">
        <v>385</v>
      </c>
    </row>
    <row r="5" spans="1:5" x14ac:dyDescent="0.25">
      <c r="A5" s="1044" t="s">
        <v>261</v>
      </c>
      <c r="B5" s="1045"/>
      <c r="C5" s="1045"/>
      <c r="D5" s="1046"/>
    </row>
    <row r="6" spans="1:5" x14ac:dyDescent="0.25">
      <c r="A6" s="175" t="s">
        <v>234</v>
      </c>
      <c r="B6" s="233">
        <v>4</v>
      </c>
      <c r="C6" s="175"/>
      <c r="D6" s="174" t="s">
        <v>257</v>
      </c>
    </row>
    <row r="7" spans="1:5" x14ac:dyDescent="0.25">
      <c r="A7" s="175" t="s">
        <v>66</v>
      </c>
      <c r="B7" s="233">
        <v>250</v>
      </c>
      <c r="C7" s="175"/>
      <c r="D7" s="174" t="s">
        <v>67</v>
      </c>
    </row>
    <row r="8" spans="1:5" x14ac:dyDescent="0.25">
      <c r="A8" s="175" t="s">
        <v>347</v>
      </c>
      <c r="B8" s="233" t="s">
        <v>346</v>
      </c>
      <c r="C8" s="175" t="s">
        <v>348</v>
      </c>
      <c r="D8" s="174" t="s">
        <v>217</v>
      </c>
      <c r="E8" s="171"/>
    </row>
    <row r="9" spans="1:5" x14ac:dyDescent="0.25">
      <c r="A9" s="1044" t="s">
        <v>336</v>
      </c>
      <c r="B9" s="1045"/>
      <c r="C9" s="1045"/>
      <c r="D9" s="1046"/>
    </row>
    <row r="10" spans="1:5" x14ac:dyDescent="0.25">
      <c r="A10" s="175" t="s">
        <v>77</v>
      </c>
      <c r="B10" s="331">
        <v>0.5</v>
      </c>
      <c r="C10" s="175"/>
      <c r="D10" s="174" t="s">
        <v>339</v>
      </c>
    </row>
    <row r="11" spans="1:5" x14ac:dyDescent="0.25">
      <c r="A11" s="1044" t="s">
        <v>335</v>
      </c>
      <c r="B11" s="1045"/>
      <c r="C11" s="1045"/>
      <c r="D11" s="1046"/>
    </row>
    <row r="12" spans="1:5" x14ac:dyDescent="0.25">
      <c r="A12" s="175" t="s">
        <v>338</v>
      </c>
      <c r="B12" s="233">
        <v>400</v>
      </c>
      <c r="C12" s="175" t="s">
        <v>337</v>
      </c>
      <c r="D12" s="174" t="s">
        <v>99</v>
      </c>
    </row>
    <row r="13" spans="1:5" x14ac:dyDescent="0.25">
      <c r="A13" s="175" t="s">
        <v>77</v>
      </c>
      <c r="B13" s="331">
        <v>0.5</v>
      </c>
      <c r="C13" s="175"/>
      <c r="D13" s="174" t="s">
        <v>339</v>
      </c>
    </row>
    <row r="14" spans="1:5" x14ac:dyDescent="0.25">
      <c r="A14" s="175" t="s">
        <v>101</v>
      </c>
      <c r="B14" s="233">
        <v>1700</v>
      </c>
      <c r="C14" s="175" t="s">
        <v>340</v>
      </c>
      <c r="D14" s="174" t="s">
        <v>102</v>
      </c>
    </row>
    <row r="15" spans="1:5" x14ac:dyDescent="0.25">
      <c r="A15" s="175" t="s">
        <v>103</v>
      </c>
      <c r="B15" s="233" t="s">
        <v>341</v>
      </c>
      <c r="C15" s="175"/>
      <c r="D15" s="174" t="s">
        <v>342</v>
      </c>
    </row>
    <row r="16" spans="1:5" x14ac:dyDescent="0.25">
      <c r="A16" s="175" t="s">
        <v>104</v>
      </c>
      <c r="B16" s="331">
        <v>0.9</v>
      </c>
      <c r="C16" s="175"/>
      <c r="D16" s="174" t="s">
        <v>105</v>
      </c>
    </row>
    <row r="17" spans="1:4" x14ac:dyDescent="0.25">
      <c r="A17" s="175" t="s">
        <v>344</v>
      </c>
      <c r="B17" s="233">
        <v>80</v>
      </c>
      <c r="C17" s="175" t="s">
        <v>343</v>
      </c>
      <c r="D17" s="174" t="s">
        <v>106</v>
      </c>
    </row>
    <row r="18" spans="1:4" s="462" customFormat="1" x14ac:dyDescent="0.25">
      <c r="A18" s="1044" t="s">
        <v>517</v>
      </c>
      <c r="B18" s="1045"/>
      <c r="C18" s="1045"/>
      <c r="D18" s="1046"/>
    </row>
    <row r="19" spans="1:4" s="462" customFormat="1" x14ac:dyDescent="0.25">
      <c r="A19" s="452" t="s">
        <v>518</v>
      </c>
      <c r="B19" s="233">
        <v>1900</v>
      </c>
      <c r="C19" s="175" t="s">
        <v>519</v>
      </c>
      <c r="D19" s="174" t="s">
        <v>520</v>
      </c>
    </row>
    <row r="20" spans="1:4" x14ac:dyDescent="0.25">
      <c r="A20" s="1044" t="s">
        <v>615</v>
      </c>
      <c r="B20" s="1045"/>
      <c r="C20" s="1045"/>
      <c r="D20" s="1046"/>
    </row>
    <row r="21" spans="1:4" x14ac:dyDescent="0.25">
      <c r="A21" s="175" t="s">
        <v>48</v>
      </c>
      <c r="B21" s="331">
        <v>1.2</v>
      </c>
      <c r="C21" s="175"/>
      <c r="D21" s="174" t="s">
        <v>179</v>
      </c>
    </row>
    <row r="22" spans="1:4" x14ac:dyDescent="0.25">
      <c r="A22" s="175" t="s">
        <v>163</v>
      </c>
      <c r="B22" s="233">
        <v>34</v>
      </c>
      <c r="C22" s="175"/>
      <c r="D22" s="174" t="s">
        <v>161</v>
      </c>
    </row>
    <row r="23" spans="1:4" x14ac:dyDescent="0.25">
      <c r="A23" s="175" t="s">
        <v>180</v>
      </c>
      <c r="B23" s="233">
        <v>250</v>
      </c>
      <c r="C23" s="175"/>
      <c r="D23" s="174" t="s">
        <v>186</v>
      </c>
    </row>
    <row r="24" spans="1:4" x14ac:dyDescent="0.25">
      <c r="A24" s="175" t="s">
        <v>363</v>
      </c>
      <c r="B24" s="233">
        <v>16</v>
      </c>
      <c r="C24" s="175" t="s">
        <v>350</v>
      </c>
      <c r="D24" s="174" t="s">
        <v>179</v>
      </c>
    </row>
    <row r="25" spans="1:4" ht="30" x14ac:dyDescent="0.25">
      <c r="A25" s="175" t="s">
        <v>162</v>
      </c>
      <c r="B25" s="379" t="s">
        <v>365</v>
      </c>
      <c r="C25" s="175"/>
      <c r="D25" s="370" t="s">
        <v>364</v>
      </c>
    </row>
    <row r="26" spans="1:4" s="171" customFormat="1" x14ac:dyDescent="0.25">
      <c r="A26" s="175" t="s">
        <v>264</v>
      </c>
      <c r="B26" s="325">
        <v>0.26</v>
      </c>
      <c r="C26" s="175"/>
      <c r="D26" s="448" t="s">
        <v>266</v>
      </c>
    </row>
    <row r="27" spans="1:4" s="171" customFormat="1" x14ac:dyDescent="0.25">
      <c r="A27" s="175" t="s">
        <v>265</v>
      </c>
      <c r="B27" s="325">
        <v>0.22</v>
      </c>
      <c r="C27" s="175"/>
      <c r="D27" s="174" t="s">
        <v>305</v>
      </c>
    </row>
    <row r="28" spans="1:4" s="171" customFormat="1" x14ac:dyDescent="0.25">
      <c r="A28" s="175" t="s">
        <v>263</v>
      </c>
      <c r="B28" s="378">
        <v>-0.54</v>
      </c>
      <c r="C28" s="175"/>
      <c r="D28" s="448" t="s">
        <v>267</v>
      </c>
    </row>
    <row r="29" spans="1:4" x14ac:dyDescent="0.25">
      <c r="A29" s="1044" t="s">
        <v>351</v>
      </c>
      <c r="B29" s="1045"/>
      <c r="C29" s="1045"/>
      <c r="D29" s="1046"/>
    </row>
    <row r="30" spans="1:4" x14ac:dyDescent="0.25">
      <c r="A30" s="175" t="s">
        <v>190</v>
      </c>
      <c r="B30" s="233"/>
      <c r="C30" s="175"/>
      <c r="D30" s="322" t="s">
        <v>214</v>
      </c>
    </row>
    <row r="31" spans="1:4" x14ac:dyDescent="0.25">
      <c r="A31" s="175" t="s">
        <v>356</v>
      </c>
      <c r="B31" s="331">
        <v>1.8</v>
      </c>
      <c r="C31" s="175" t="s">
        <v>350</v>
      </c>
      <c r="D31" s="322" t="s">
        <v>357</v>
      </c>
    </row>
    <row r="32" spans="1:4" x14ac:dyDescent="0.25">
      <c r="A32" s="175" t="s">
        <v>355</v>
      </c>
      <c r="B32" s="378">
        <v>0.98</v>
      </c>
      <c r="C32" s="175" t="s">
        <v>350</v>
      </c>
      <c r="D32" s="174" t="s">
        <v>360</v>
      </c>
    </row>
    <row r="33" spans="1:4" x14ac:dyDescent="0.25">
      <c r="A33" s="175" t="s">
        <v>354</v>
      </c>
      <c r="B33" s="331" t="s">
        <v>353</v>
      </c>
      <c r="C33" s="175" t="s">
        <v>350</v>
      </c>
      <c r="D33" s="174" t="s">
        <v>352</v>
      </c>
    </row>
    <row r="34" spans="1:4" x14ac:dyDescent="0.25">
      <c r="A34" s="175" t="s">
        <v>31</v>
      </c>
      <c r="B34" s="233" t="s">
        <v>322</v>
      </c>
      <c r="C34" s="175"/>
      <c r="D34" s="174" t="s">
        <v>194</v>
      </c>
    </row>
    <row r="35" spans="1:4" x14ac:dyDescent="0.25">
      <c r="A35" s="175" t="s">
        <v>24</v>
      </c>
      <c r="B35" s="378">
        <v>0.91</v>
      </c>
      <c r="C35" s="175"/>
      <c r="D35" s="174" t="s">
        <v>358</v>
      </c>
    </row>
    <row r="36" spans="1:4" x14ac:dyDescent="0.25">
      <c r="A36" s="175" t="s">
        <v>42</v>
      </c>
      <c r="B36" s="325">
        <v>0.04</v>
      </c>
      <c r="C36" s="175"/>
      <c r="D36" s="174" t="s">
        <v>147</v>
      </c>
    </row>
    <row r="37" spans="1:4" s="724" customFormat="1" x14ac:dyDescent="0.25">
      <c r="A37" s="175" t="s">
        <v>180</v>
      </c>
      <c r="B37" s="233">
        <v>200</v>
      </c>
      <c r="C37" s="175"/>
      <c r="D37" s="174" t="s">
        <v>606</v>
      </c>
    </row>
    <row r="38" spans="1:4" x14ac:dyDescent="0.25">
      <c r="A38" s="175" t="s">
        <v>122</v>
      </c>
      <c r="B38" s="325">
        <v>0.1</v>
      </c>
      <c r="C38" s="175"/>
      <c r="D38" s="174" t="s">
        <v>191</v>
      </c>
    </row>
    <row r="39" spans="1:4" x14ac:dyDescent="0.25">
      <c r="A39" s="175" t="s">
        <v>198</v>
      </c>
      <c r="B39" s="378">
        <v>0.71</v>
      </c>
      <c r="C39" s="175"/>
      <c r="D39" s="174" t="s">
        <v>359</v>
      </c>
    </row>
    <row r="40" spans="1:4" x14ac:dyDescent="0.25">
      <c r="A40" s="175" t="s">
        <v>199</v>
      </c>
      <c r="B40" s="378">
        <v>2.1</v>
      </c>
      <c r="C40" s="175"/>
      <c r="D40" s="174" t="s">
        <v>359</v>
      </c>
    </row>
    <row r="41" spans="1:4" s="171" customFormat="1" x14ac:dyDescent="0.25">
      <c r="A41" s="1044" t="s">
        <v>372</v>
      </c>
      <c r="B41" s="1045"/>
      <c r="C41" s="1045"/>
      <c r="D41" s="1046"/>
    </row>
    <row r="42" spans="1:4" s="171" customFormat="1" x14ac:dyDescent="0.25">
      <c r="A42" s="175" t="s">
        <v>311</v>
      </c>
      <c r="B42" s="331" t="s">
        <v>322</v>
      </c>
      <c r="C42" s="175"/>
      <c r="D42" s="174" t="s">
        <v>327</v>
      </c>
    </row>
    <row r="43" spans="1:4" s="171" customFormat="1" x14ac:dyDescent="0.25">
      <c r="A43" s="175" t="s">
        <v>121</v>
      </c>
      <c r="B43" s="331" t="s">
        <v>322</v>
      </c>
      <c r="C43" s="175"/>
      <c r="D43" s="174" t="s">
        <v>376</v>
      </c>
    </row>
    <row r="44" spans="1:4" s="171" customFormat="1" x14ac:dyDescent="0.25">
      <c r="A44" s="175" t="s">
        <v>190</v>
      </c>
      <c r="B44" s="331" t="s">
        <v>322</v>
      </c>
      <c r="C44" s="175"/>
      <c r="D44" s="174" t="s">
        <v>214</v>
      </c>
    </row>
    <row r="45" spans="1:4" s="171" customFormat="1" x14ac:dyDescent="0.25">
      <c r="A45" s="175" t="s">
        <v>356</v>
      </c>
      <c r="B45" s="331">
        <v>1.8</v>
      </c>
      <c r="C45" s="175" t="s">
        <v>350</v>
      </c>
      <c r="D45" s="174" t="s">
        <v>193</v>
      </c>
    </row>
    <row r="46" spans="1:4" s="171" customFormat="1" x14ac:dyDescent="0.25">
      <c r="A46" s="175" t="s">
        <v>355</v>
      </c>
      <c r="B46" s="331">
        <v>1</v>
      </c>
      <c r="C46" s="175" t="s">
        <v>350</v>
      </c>
      <c r="D46" s="174" t="s">
        <v>192</v>
      </c>
    </row>
    <row r="47" spans="1:4" s="724" customFormat="1" x14ac:dyDescent="0.25">
      <c r="A47" s="175" t="s">
        <v>180</v>
      </c>
      <c r="B47" s="233">
        <v>200</v>
      </c>
      <c r="C47" s="175"/>
      <c r="D47" s="174" t="s">
        <v>606</v>
      </c>
    </row>
    <row r="48" spans="1:4" s="171" customFormat="1" x14ac:dyDescent="0.25">
      <c r="A48" s="175" t="s">
        <v>198</v>
      </c>
      <c r="B48" s="378">
        <v>0.71</v>
      </c>
      <c r="C48" s="175"/>
      <c r="D48" s="174" t="s">
        <v>371</v>
      </c>
    </row>
    <row r="49" spans="1:5" s="171" customFormat="1" x14ac:dyDescent="0.25">
      <c r="A49" s="175" t="s">
        <v>199</v>
      </c>
      <c r="B49" s="378">
        <v>2.1</v>
      </c>
      <c r="C49" s="175"/>
      <c r="D49" s="174" t="s">
        <v>371</v>
      </c>
    </row>
    <row r="50" spans="1:5" s="171" customFormat="1" x14ac:dyDescent="0.25">
      <c r="A50" s="175" t="s">
        <v>373</v>
      </c>
      <c r="B50" s="325">
        <v>0.11</v>
      </c>
      <c r="C50" s="175"/>
      <c r="D50" s="448" t="s">
        <v>375</v>
      </c>
    </row>
    <row r="51" spans="1:5" s="171" customFormat="1" x14ac:dyDescent="0.25">
      <c r="A51" s="452" t="s">
        <v>374</v>
      </c>
      <c r="B51" s="325">
        <v>0.08</v>
      </c>
      <c r="C51" s="175"/>
      <c r="D51" s="174" t="s">
        <v>375</v>
      </c>
    </row>
    <row r="52" spans="1:5" s="462" customFormat="1" x14ac:dyDescent="0.25">
      <c r="A52" s="1044" t="s">
        <v>467</v>
      </c>
      <c r="B52" s="1045"/>
      <c r="C52" s="1045"/>
      <c r="D52" s="1046"/>
    </row>
    <row r="53" spans="1:5" s="462" customFormat="1" x14ac:dyDescent="0.25">
      <c r="A53" s="175" t="s">
        <v>474</v>
      </c>
      <c r="B53" s="331">
        <v>1.2</v>
      </c>
      <c r="C53" s="175"/>
      <c r="D53" s="174" t="s">
        <v>564</v>
      </c>
    </row>
    <row r="54" spans="1:5" s="462" customFormat="1" x14ac:dyDescent="0.25">
      <c r="A54" s="175" t="s">
        <v>180</v>
      </c>
      <c r="B54" s="233">
        <v>250</v>
      </c>
      <c r="C54" s="175"/>
      <c r="D54" s="174" t="s">
        <v>186</v>
      </c>
    </row>
    <row r="55" spans="1:5" s="462" customFormat="1" x14ac:dyDescent="0.25">
      <c r="A55" s="175" t="s">
        <v>477</v>
      </c>
      <c r="B55" s="331" t="s">
        <v>366</v>
      </c>
      <c r="C55" s="175"/>
      <c r="D55" s="174" t="s">
        <v>565</v>
      </c>
    </row>
    <row r="56" spans="1:5" s="462" customFormat="1" x14ac:dyDescent="0.25">
      <c r="A56" s="175" t="s">
        <v>475</v>
      </c>
      <c r="B56" s="378">
        <v>0.83</v>
      </c>
      <c r="C56" s="175"/>
      <c r="D56" s="174" t="s">
        <v>566</v>
      </c>
    </row>
    <row r="57" spans="1:5" s="462" customFormat="1" x14ac:dyDescent="0.25">
      <c r="A57" s="175" t="s">
        <v>476</v>
      </c>
      <c r="B57" s="644">
        <v>0.9</v>
      </c>
      <c r="C57" s="175"/>
      <c r="D57" s="174" t="s">
        <v>570</v>
      </c>
      <c r="E57" s="166"/>
    </row>
    <row r="58" spans="1:5" s="462" customFormat="1" x14ac:dyDescent="0.25">
      <c r="A58" s="175" t="s">
        <v>567</v>
      </c>
      <c r="B58" s="644">
        <v>5</v>
      </c>
      <c r="C58" s="175" t="s">
        <v>350</v>
      </c>
      <c r="D58" s="174" t="s">
        <v>566</v>
      </c>
    </row>
    <row r="59" spans="1:5" x14ac:dyDescent="0.25">
      <c r="A59" s="1044" t="s">
        <v>334</v>
      </c>
      <c r="B59" s="1045"/>
      <c r="C59" s="1045"/>
      <c r="D59" s="1046"/>
    </row>
    <row r="60" spans="1:5" ht="30" x14ac:dyDescent="0.25">
      <c r="A60" s="175" t="s">
        <v>269</v>
      </c>
      <c r="B60" s="379" t="s">
        <v>367</v>
      </c>
      <c r="C60" s="175"/>
      <c r="D60" s="174" t="s">
        <v>270</v>
      </c>
    </row>
    <row r="61" spans="1:5" x14ac:dyDescent="0.25">
      <c r="A61" s="175" t="s">
        <v>562</v>
      </c>
      <c r="B61" s="379" t="s">
        <v>683</v>
      </c>
      <c r="C61" s="175"/>
      <c r="D61" s="174" t="s">
        <v>684</v>
      </c>
      <c r="E61" s="171"/>
    </row>
    <row r="62" spans="1:5" s="724" customFormat="1" x14ac:dyDescent="0.25">
      <c r="A62" s="175" t="s">
        <v>685</v>
      </c>
      <c r="B62" s="233" t="s">
        <v>322</v>
      </c>
      <c r="C62" s="175"/>
      <c r="D62" s="174" t="s">
        <v>696</v>
      </c>
    </row>
    <row r="63" spans="1:5" x14ac:dyDescent="0.25">
      <c r="A63" s="175"/>
      <c r="B63" s="233"/>
      <c r="C63" s="175"/>
      <c r="D63" s="174"/>
    </row>
    <row r="64" spans="1:5" x14ac:dyDescent="0.25">
      <c r="A64" s="175"/>
      <c r="B64" s="233"/>
      <c r="C64" s="175"/>
      <c r="D64" s="174"/>
    </row>
    <row r="65" spans="1:4" x14ac:dyDescent="0.25">
      <c r="A65" s="175"/>
      <c r="B65" s="233"/>
      <c r="C65" s="175"/>
      <c r="D65" s="174"/>
    </row>
    <row r="66" spans="1:4" x14ac:dyDescent="0.25">
      <c r="A66" s="175"/>
      <c r="B66" s="233"/>
      <c r="C66" s="175"/>
      <c r="D66" s="174"/>
    </row>
    <row r="67" spans="1:4" x14ac:dyDescent="0.25">
      <c r="A67" s="175"/>
      <c r="B67" s="233"/>
      <c r="C67" s="175"/>
      <c r="D67" s="174"/>
    </row>
    <row r="68" spans="1:4" x14ac:dyDescent="0.25">
      <c r="A68" s="175"/>
      <c r="B68" s="233"/>
      <c r="C68" s="175"/>
      <c r="D68" s="174"/>
    </row>
    <row r="69" spans="1:4" x14ac:dyDescent="0.25">
      <c r="A69" s="175"/>
      <c r="B69" s="233"/>
      <c r="C69" s="175"/>
      <c r="D69" s="174"/>
    </row>
    <row r="70" spans="1:4" x14ac:dyDescent="0.25">
      <c r="A70" s="175"/>
      <c r="B70" s="233"/>
      <c r="C70" s="175"/>
      <c r="D70" s="174"/>
    </row>
    <row r="71" spans="1:4" x14ac:dyDescent="0.25">
      <c r="A71" s="175"/>
      <c r="B71" s="233"/>
      <c r="C71" s="175"/>
      <c r="D71" s="174"/>
    </row>
    <row r="72" spans="1:4" x14ac:dyDescent="0.25">
      <c r="A72" s="175"/>
      <c r="B72" s="233"/>
      <c r="C72" s="175"/>
      <c r="D72" s="174"/>
    </row>
    <row r="73" spans="1:4" x14ac:dyDescent="0.25">
      <c r="A73" s="175"/>
      <c r="B73" s="233"/>
      <c r="C73" s="175"/>
      <c r="D73" s="174"/>
    </row>
    <row r="74" spans="1:4" x14ac:dyDescent="0.25">
      <c r="A74" s="175"/>
      <c r="B74" s="233"/>
      <c r="C74" s="175"/>
      <c r="D74" s="174"/>
    </row>
    <row r="75" spans="1:4" x14ac:dyDescent="0.25">
      <c r="A75" s="175"/>
      <c r="B75" s="233"/>
      <c r="C75" s="175"/>
      <c r="D75" s="174"/>
    </row>
    <row r="76" spans="1:4" x14ac:dyDescent="0.25">
      <c r="A76" s="175"/>
      <c r="B76" s="233"/>
      <c r="C76" s="175"/>
      <c r="D76" s="174"/>
    </row>
    <row r="77" spans="1:4" x14ac:dyDescent="0.25">
      <c r="A77" s="175"/>
      <c r="B77" s="233"/>
      <c r="C77" s="175"/>
      <c r="D77" s="174"/>
    </row>
    <row r="78" spans="1:4" x14ac:dyDescent="0.25">
      <c r="A78" s="175"/>
      <c r="B78" s="233"/>
      <c r="C78" s="175"/>
      <c r="D78" s="174"/>
    </row>
    <row r="79" spans="1:4" x14ac:dyDescent="0.25">
      <c r="A79" s="175"/>
      <c r="B79" s="233"/>
      <c r="C79" s="175"/>
      <c r="D79" s="174"/>
    </row>
    <row r="80" spans="1:4" x14ac:dyDescent="0.25">
      <c r="A80" s="175"/>
      <c r="B80" s="233"/>
      <c r="C80" s="175"/>
      <c r="D80" s="174"/>
    </row>
    <row r="81" spans="1:4" x14ac:dyDescent="0.25">
      <c r="A81" s="175"/>
      <c r="B81" s="233"/>
      <c r="C81" s="175"/>
      <c r="D81" s="174" t="s">
        <v>687</v>
      </c>
    </row>
  </sheetData>
  <mergeCells count="10">
    <mergeCell ref="A9:D9"/>
    <mergeCell ref="A5:D5"/>
    <mergeCell ref="A52:D52"/>
    <mergeCell ref="A3:D3"/>
    <mergeCell ref="A20:D20"/>
    <mergeCell ref="A59:D59"/>
    <mergeCell ref="A41:D41"/>
    <mergeCell ref="A18:D18"/>
    <mergeCell ref="A29:D29"/>
    <mergeCell ref="A11:D11"/>
  </mergeCells>
  <hyperlinks>
    <hyperlink ref="D22" r:id="rId1" display="http://www.travelbehavior.us/Nancy-pdfs/Mode Share.pdf"/>
    <hyperlink ref="D25" r:id="rId2" display="http://www.cutr.usf.edu/research/propensity.PDF"/>
    <hyperlink ref="D26" r:id="rId3"/>
    <hyperlink ref="D28" r:id="rId4"/>
    <hyperlink ref="D50" r:id="rId5"/>
    <hyperlink ref="D55" r:id="rId6" display="http://www.epa.gov/otaq/stateresources/policy/420r11025.pdf"/>
  </hyperlinks>
  <pageMargins left="0.7" right="0.7" top="0.75" bottom="0.75" header="0.3" footer="0.3"/>
  <pageSetup paperSize="17" scale="48"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A121"/>
  <sheetViews>
    <sheetView showGridLines="0" topLeftCell="A100" zoomScale="85" zoomScaleNormal="85" workbookViewId="0">
      <selection activeCell="K121" sqref="A1:K121"/>
    </sheetView>
  </sheetViews>
  <sheetFormatPr defaultRowHeight="15" x14ac:dyDescent="0.25"/>
  <cols>
    <col min="1" max="2" width="2.140625" style="165" customWidth="1"/>
    <col min="3" max="3" width="75.42578125" style="165" customWidth="1"/>
    <col min="4" max="4" width="16.7109375" style="165" customWidth="1"/>
    <col min="5" max="5" width="16.5703125" style="165" customWidth="1"/>
    <col min="6" max="6" width="25" style="165" bestFit="1" customWidth="1"/>
    <col min="7" max="8" width="16.5703125" style="165" hidden="1" customWidth="1"/>
    <col min="9" max="9" width="26" style="165" bestFit="1" customWidth="1"/>
    <col min="10" max="10" width="2.140625" style="165" customWidth="1"/>
    <col min="11" max="11" width="2.28515625" style="165" customWidth="1"/>
    <col min="12" max="16384" width="9.140625" style="165"/>
  </cols>
  <sheetData>
    <row r="1" spans="1:27" ht="12.75" customHeight="1" x14ac:dyDescent="0.25">
      <c r="A1" s="320"/>
      <c r="B1" s="320"/>
      <c r="C1" s="320"/>
      <c r="D1" s="320"/>
      <c r="E1" s="320"/>
      <c r="F1" s="320"/>
      <c r="G1" s="320"/>
      <c r="H1" s="320"/>
      <c r="I1" s="320"/>
      <c r="J1" s="320"/>
      <c r="K1" s="320"/>
    </row>
    <row r="2" spans="1:27" ht="12.75" customHeight="1" x14ac:dyDescent="0.25">
      <c r="A2" s="320"/>
      <c r="B2" s="319"/>
      <c r="C2" s="319"/>
      <c r="D2" s="319"/>
      <c r="E2" s="319"/>
      <c r="F2" s="319"/>
      <c r="G2" s="462"/>
      <c r="H2" s="462"/>
      <c r="I2" s="171"/>
      <c r="J2" s="171"/>
      <c r="K2" s="320"/>
    </row>
    <row r="3" spans="1:27" ht="28.5" x14ac:dyDescent="0.25">
      <c r="A3" s="320"/>
      <c r="B3" s="171"/>
      <c r="C3" s="889" t="s">
        <v>261</v>
      </c>
      <c r="D3" s="889"/>
      <c r="E3" s="889"/>
      <c r="F3" s="889"/>
      <c r="G3" s="889"/>
      <c r="H3" s="889"/>
      <c r="I3" s="889"/>
      <c r="J3" s="265"/>
      <c r="K3" s="320"/>
      <c r="AA3" s="206"/>
    </row>
    <row r="4" spans="1:27" ht="9.75" customHeight="1" x14ac:dyDescent="0.25">
      <c r="A4" s="320"/>
      <c r="B4" s="166"/>
      <c r="C4" s="198"/>
      <c r="D4" s="237"/>
      <c r="E4" s="295"/>
      <c r="F4" s="295"/>
      <c r="G4" s="295"/>
      <c r="H4" s="295"/>
      <c r="I4" s="295"/>
      <c r="J4" s="265"/>
      <c r="K4" s="320"/>
      <c r="AA4" s="206"/>
    </row>
    <row r="5" spans="1:27" s="257" customFormat="1" x14ac:dyDescent="0.25">
      <c r="A5" s="320"/>
      <c r="B5" s="166"/>
      <c r="C5" s="314" t="s">
        <v>324</v>
      </c>
      <c r="D5"/>
      <c r="E5" s="133"/>
      <c r="F5" s="314" t="s">
        <v>254</v>
      </c>
      <c r="G5" s="314"/>
      <c r="H5" s="314"/>
      <c r="I5" s="314" t="s">
        <v>255</v>
      </c>
      <c r="J5"/>
      <c r="K5" s="320"/>
      <c r="AA5" s="206"/>
    </row>
    <row r="6" spans="1:27" s="257" customFormat="1" ht="15.75" x14ac:dyDescent="0.25">
      <c r="A6" s="320"/>
      <c r="B6" s="166"/>
      <c r="C6" s="291" t="s">
        <v>120</v>
      </c>
      <c r="D6" s="70">
        <v>2015</v>
      </c>
      <c r="E6" s="70">
        <v>2025</v>
      </c>
      <c r="F6" s="70">
        <v>2020</v>
      </c>
      <c r="G6" s="70">
        <v>2015</v>
      </c>
      <c r="H6" s="70">
        <v>2025</v>
      </c>
      <c r="I6" s="70">
        <v>2020</v>
      </c>
      <c r="J6" s="5"/>
      <c r="K6" s="320"/>
      <c r="AA6" s="206"/>
    </row>
    <row r="7" spans="1:27" s="257" customFormat="1" x14ac:dyDescent="0.25">
      <c r="A7" s="320"/>
      <c r="B7" s="166"/>
      <c r="C7" s="193" t="s">
        <v>128</v>
      </c>
      <c r="D7" s="70"/>
      <c r="E7" s="70"/>
      <c r="F7" s="70">
        <v>4</v>
      </c>
      <c r="G7" s="70"/>
      <c r="H7" s="70"/>
      <c r="I7" s="70">
        <v>4</v>
      </c>
      <c r="J7" s="102"/>
      <c r="K7" s="320"/>
      <c r="AA7" s="206"/>
    </row>
    <row r="8" spans="1:27" s="257" customFormat="1" x14ac:dyDescent="0.25">
      <c r="A8" s="320"/>
      <c r="B8" s="166"/>
      <c r="C8" s="193" t="s">
        <v>129</v>
      </c>
      <c r="D8" s="70"/>
      <c r="E8" s="70"/>
      <c r="F8" s="71">
        <v>8</v>
      </c>
      <c r="G8" s="70"/>
      <c r="H8" s="70"/>
      <c r="I8" s="71">
        <v>8</v>
      </c>
      <c r="J8" s="102"/>
      <c r="K8" s="320"/>
      <c r="AA8" s="206"/>
    </row>
    <row r="9" spans="1:27" s="257" customFormat="1" x14ac:dyDescent="0.25">
      <c r="A9" s="320"/>
      <c r="B9" s="166"/>
      <c r="C9" s="193" t="s">
        <v>253</v>
      </c>
      <c r="D9" s="70"/>
      <c r="E9" s="70"/>
      <c r="F9" s="71">
        <v>3</v>
      </c>
      <c r="G9" s="70"/>
      <c r="H9" s="70"/>
      <c r="I9" s="71">
        <v>3</v>
      </c>
      <c r="J9" s="102"/>
      <c r="K9" s="320"/>
      <c r="AA9" s="206"/>
    </row>
    <row r="10" spans="1:27" s="257" customFormat="1" x14ac:dyDescent="0.25">
      <c r="A10" s="320"/>
      <c r="B10" s="166"/>
      <c r="C10" s="193" t="s">
        <v>262</v>
      </c>
      <c r="D10" s="70"/>
      <c r="E10" s="70"/>
      <c r="F10" s="30">
        <v>1000</v>
      </c>
      <c r="G10" s="70"/>
      <c r="H10" s="70"/>
      <c r="I10" s="30">
        <v>1000</v>
      </c>
      <c r="J10" s="102"/>
      <c r="K10" s="320"/>
      <c r="AA10" s="206"/>
    </row>
    <row r="11" spans="1:27" s="257" customFormat="1" x14ac:dyDescent="0.25">
      <c r="A11" s="320"/>
      <c r="B11" s="166"/>
      <c r="C11" s="193" t="s">
        <v>256</v>
      </c>
      <c r="D11" s="72"/>
      <c r="E11" s="72"/>
      <c r="F11" s="72">
        <v>0.03</v>
      </c>
      <c r="G11" s="72"/>
      <c r="H11" s="72"/>
      <c r="I11" s="72">
        <v>0.03</v>
      </c>
      <c r="J11" s="102"/>
      <c r="K11" s="320"/>
      <c r="AA11" s="206"/>
    </row>
    <row r="12" spans="1:27" s="257" customFormat="1" x14ac:dyDescent="0.25">
      <c r="A12" s="320"/>
      <c r="B12" s="166"/>
      <c r="C12" s="275" t="s">
        <v>258</v>
      </c>
      <c r="D12" s="72"/>
      <c r="E12" s="70"/>
      <c r="F12" s="30">
        <v>9</v>
      </c>
      <c r="G12" s="70"/>
      <c r="H12" s="70"/>
      <c r="I12" s="30">
        <v>9</v>
      </c>
      <c r="J12" s="102"/>
      <c r="K12" s="320"/>
      <c r="N12" s="246"/>
      <c r="O12" s="246"/>
      <c r="P12" s="246"/>
      <c r="Q12" s="246"/>
    </row>
    <row r="13" spans="1:27" s="257" customFormat="1" x14ac:dyDescent="0.25">
      <c r="A13" s="320"/>
      <c r="B13" s="166"/>
      <c r="C13" s="193" t="s">
        <v>130</v>
      </c>
      <c r="D13" s="30"/>
      <c r="E13" s="70"/>
      <c r="F13" s="30">
        <v>60</v>
      </c>
      <c r="G13" s="70"/>
      <c r="H13" s="70"/>
      <c r="I13" s="30">
        <v>60</v>
      </c>
      <c r="J13" s="102"/>
      <c r="K13" s="320"/>
      <c r="N13" s="246"/>
      <c r="O13" s="246"/>
      <c r="P13" s="246"/>
      <c r="Q13" s="246"/>
    </row>
    <row r="14" spans="1:27" s="257" customFormat="1" x14ac:dyDescent="0.25">
      <c r="A14" s="320"/>
      <c r="B14" s="166"/>
      <c r="C14" s="23"/>
      <c r="D14" s="312"/>
      <c r="E14" s="245"/>
      <c r="F14" s="312"/>
      <c r="G14" s="245"/>
      <c r="H14" s="245"/>
      <c r="I14" s="312"/>
      <c r="J14" s="102"/>
      <c r="K14" s="320"/>
      <c r="N14" s="246"/>
      <c r="O14" s="246"/>
      <c r="P14" s="246"/>
      <c r="Q14" s="246"/>
    </row>
    <row r="15" spans="1:27" s="257" customFormat="1" ht="15.75" x14ac:dyDescent="0.25">
      <c r="A15" s="320"/>
      <c r="B15" s="166"/>
      <c r="C15" s="241" t="s">
        <v>349</v>
      </c>
      <c r="D15" s="308"/>
      <c r="E15" s="308"/>
      <c r="F15" s="308"/>
      <c r="G15" s="308"/>
      <c r="H15" s="308"/>
      <c r="I15" s="308"/>
      <c r="J15" s="102"/>
      <c r="K15" s="320"/>
      <c r="N15" s="246"/>
      <c r="O15" s="246"/>
      <c r="P15" s="246"/>
      <c r="Q15" s="246"/>
    </row>
    <row r="16" spans="1:27" s="257" customFormat="1" x14ac:dyDescent="0.25">
      <c r="A16" s="320"/>
      <c r="B16" s="166"/>
      <c r="C16" s="312" t="s">
        <v>324</v>
      </c>
      <c r="D16" s="173"/>
      <c r="E16" s="173"/>
      <c r="F16" s="173"/>
      <c r="G16" s="173"/>
      <c r="H16" s="173"/>
      <c r="I16" s="173"/>
      <c r="J16" s="102"/>
      <c r="K16" s="320"/>
      <c r="N16" s="246"/>
      <c r="O16" s="246"/>
      <c r="P16" s="246"/>
      <c r="Q16" s="246"/>
    </row>
    <row r="17" spans="1:17" s="257" customFormat="1" x14ac:dyDescent="0.25">
      <c r="A17" s="320"/>
      <c r="B17" s="166"/>
      <c r="C17" s="196" t="s">
        <v>234</v>
      </c>
      <c r="D17" s="16"/>
      <c r="E17" s="16"/>
      <c r="F17" s="16">
        <v>4</v>
      </c>
      <c r="G17" s="16"/>
      <c r="H17" s="16"/>
      <c r="I17" s="16">
        <v>4</v>
      </c>
      <c r="J17" s="102"/>
      <c r="K17" s="320"/>
      <c r="N17" s="246"/>
      <c r="O17" s="246"/>
      <c r="P17" s="246"/>
      <c r="Q17" s="246"/>
    </row>
    <row r="18" spans="1:17" s="257" customFormat="1" x14ac:dyDescent="0.25">
      <c r="A18" s="320"/>
      <c r="B18" s="166"/>
      <c r="C18" s="196" t="s">
        <v>66</v>
      </c>
      <c r="D18" s="16"/>
      <c r="E18" s="16"/>
      <c r="F18" s="16">
        <v>250</v>
      </c>
      <c r="G18" s="16"/>
      <c r="H18" s="16"/>
      <c r="I18" s="16">
        <v>250</v>
      </c>
      <c r="J18" s="102"/>
      <c r="K18" s="320"/>
      <c r="N18" s="246"/>
      <c r="O18" s="246"/>
      <c r="P18" s="246"/>
      <c r="Q18" s="246"/>
    </row>
    <row r="19" spans="1:17" s="257" customFormat="1" x14ac:dyDescent="0.25">
      <c r="A19" s="320"/>
      <c r="B19" s="166"/>
      <c r="C19" s="311"/>
      <c r="D19" s="7"/>
      <c r="E19" s="7"/>
      <c r="F19" s="7"/>
      <c r="G19" s="7"/>
      <c r="H19" s="7"/>
      <c r="I19" s="7"/>
      <c r="J19" s="102"/>
      <c r="K19" s="320"/>
      <c r="N19" s="246"/>
      <c r="O19" s="246"/>
      <c r="P19" s="246"/>
      <c r="Q19" s="246"/>
    </row>
    <row r="20" spans="1:17" s="257" customFormat="1" ht="15.75" customHeight="1" x14ac:dyDescent="0.25">
      <c r="A20" s="320"/>
      <c r="B20" s="166"/>
      <c r="C20" s="292" t="s">
        <v>317</v>
      </c>
      <c r="D20" s="253"/>
      <c r="E20" s="253"/>
      <c r="F20" s="253"/>
      <c r="G20" s="253" t="s">
        <v>317</v>
      </c>
      <c r="H20" s="253"/>
      <c r="I20" s="253"/>
      <c r="J20" s="102"/>
      <c r="K20" s="320"/>
    </row>
    <row r="21" spans="1:17" s="257" customFormat="1" ht="15.75" customHeight="1" x14ac:dyDescent="0.25">
      <c r="A21" s="320"/>
      <c r="B21" s="166"/>
      <c r="C21" s="312" t="s">
        <v>324</v>
      </c>
      <c r="D21" s="173"/>
      <c r="E21" s="173"/>
      <c r="F21" s="173"/>
      <c r="G21" s="173"/>
      <c r="H21" s="173"/>
      <c r="I21" s="173"/>
      <c r="J21" s="102"/>
      <c r="K21" s="320"/>
    </row>
    <row r="22" spans="1:17" s="257" customFormat="1" x14ac:dyDescent="0.25">
      <c r="A22" s="320"/>
      <c r="B22" s="166"/>
      <c r="C22" s="176" t="s">
        <v>131</v>
      </c>
      <c r="D22" s="73"/>
      <c r="E22" s="73"/>
      <c r="F22" s="73">
        <f>F8*((0.5*F13*(1-0.5)^2*(1-0.55))/(1-MIN(1, (F10/(1800*F9)))*0.5))/60</f>
        <v>0.49591836734693867</v>
      </c>
      <c r="G22" s="73"/>
      <c r="H22" s="73"/>
      <c r="I22" s="73">
        <f t="shared" ref="I22" si="0">I8*((0.5*I13*(1-0.5)^2*(1-0.55))/(1-MIN(1, (I10/(1800*I9)))*0.5))/60</f>
        <v>0.49591836734693867</v>
      </c>
      <c r="J22"/>
      <c r="K22" s="320"/>
    </row>
    <row r="23" spans="1:17" s="257" customFormat="1" x14ac:dyDescent="0.25">
      <c r="A23" s="320"/>
      <c r="B23" s="166"/>
      <c r="C23" s="183" t="s">
        <v>132</v>
      </c>
      <c r="D23" s="73"/>
      <c r="E23" s="74"/>
      <c r="F23" s="74">
        <f>F12-F22</f>
        <v>8.5040816326530617</v>
      </c>
      <c r="G23" s="73"/>
      <c r="H23" s="74"/>
      <c r="I23" s="74">
        <f>I12-I22</f>
        <v>8.5040816326530617</v>
      </c>
      <c r="J23" s="102"/>
      <c r="K23" s="320"/>
    </row>
    <row r="24" spans="1:17" s="257" customFormat="1" x14ac:dyDescent="0.25">
      <c r="A24" s="320"/>
      <c r="B24" s="166"/>
      <c r="C24" s="193" t="s">
        <v>259</v>
      </c>
      <c r="D24" s="73"/>
      <c r="E24" s="19"/>
      <c r="F24" s="19">
        <f t="shared" ref="F24:I24" si="1" xml:space="preserve"> (1-F11)*F7*F10</f>
        <v>3880</v>
      </c>
      <c r="G24" s="73"/>
      <c r="H24" s="19"/>
      <c r="I24" s="19">
        <f t="shared" si="1"/>
        <v>3880</v>
      </c>
      <c r="J24" s="102"/>
      <c r="K24" s="320"/>
    </row>
    <row r="25" spans="1:17" s="257" customFormat="1" x14ac:dyDescent="0.25">
      <c r="A25" s="320"/>
      <c r="B25" s="166"/>
      <c r="C25" s="193" t="s">
        <v>260</v>
      </c>
      <c r="D25" s="73"/>
      <c r="E25" s="19"/>
      <c r="F25" s="19">
        <f t="shared" ref="F25:I25" si="2">F7*F11*F10</f>
        <v>120</v>
      </c>
      <c r="G25" s="73"/>
      <c r="H25" s="19"/>
      <c r="I25" s="19">
        <f t="shared" si="2"/>
        <v>120</v>
      </c>
      <c r="J25" s="102"/>
      <c r="K25" s="320"/>
    </row>
    <row r="26" spans="1:17" x14ac:dyDescent="0.25">
      <c r="A26" s="320"/>
      <c r="B26" s="166"/>
      <c r="C26" s="193" t="s">
        <v>133</v>
      </c>
      <c r="D26" s="73"/>
      <c r="E26" s="75"/>
      <c r="F26" s="75">
        <f>(F7/F12)*60</f>
        <v>26.666666666666664</v>
      </c>
      <c r="G26" s="73"/>
      <c r="H26" s="75"/>
      <c r="I26" s="75">
        <f>(I7/I12)*60</f>
        <v>26.666666666666664</v>
      </c>
      <c r="J26" s="102"/>
      <c r="K26" s="320"/>
    </row>
    <row r="27" spans="1:17" x14ac:dyDescent="0.25">
      <c r="A27" s="320"/>
      <c r="B27" s="171"/>
      <c r="C27" s="193" t="s">
        <v>134</v>
      </c>
      <c r="D27" s="73"/>
      <c r="E27" s="75"/>
      <c r="F27" s="75">
        <f>(F7/F23)*60</f>
        <v>28.221742260619148</v>
      </c>
      <c r="G27" s="73"/>
      <c r="H27" s="75"/>
      <c r="I27" s="75">
        <f>(I7/I23)*60</f>
        <v>28.221742260619148</v>
      </c>
      <c r="J27" s="102"/>
      <c r="K27" s="320"/>
    </row>
    <row r="28" spans="1:17" x14ac:dyDescent="0.25">
      <c r="A28" s="320"/>
      <c r="B28" s="171"/>
      <c r="C28" s="193" t="s">
        <v>116</v>
      </c>
      <c r="D28" s="75"/>
      <c r="E28" s="75"/>
      <c r="F28" s="75">
        <f>(F22/60)*F10*F17*F18</f>
        <v>8265.3061224489775</v>
      </c>
      <c r="G28" s="75"/>
      <c r="H28" s="75"/>
      <c r="I28" s="75">
        <f t="shared" ref="I28" si="3">(I22/60)*I10*I17*I18</f>
        <v>8265.3061224489775</v>
      </c>
      <c r="J28" s="102"/>
      <c r="K28" s="320"/>
    </row>
    <row r="29" spans="1:17" x14ac:dyDescent="0.25">
      <c r="A29" s="320"/>
      <c r="B29" s="171"/>
      <c r="C29" s="23"/>
      <c r="D29" s="172"/>
      <c r="E29" s="229"/>
      <c r="F29" s="229"/>
      <c r="G29" s="172"/>
      <c r="H29" s="229"/>
      <c r="I29" s="229"/>
      <c r="J29" s="102"/>
      <c r="K29" s="320"/>
    </row>
    <row r="30" spans="1:17" ht="15.75" customHeight="1" x14ac:dyDescent="0.25">
      <c r="A30" s="320"/>
      <c r="B30" s="171"/>
      <c r="C30" s="292" t="s">
        <v>416</v>
      </c>
      <c r="D30" s="308"/>
      <c r="E30" s="308"/>
      <c r="F30" s="308"/>
      <c r="G30" s="308" t="s">
        <v>320</v>
      </c>
      <c r="H30" s="308"/>
      <c r="I30" s="308"/>
      <c r="J30" s="102"/>
      <c r="K30" s="320"/>
    </row>
    <row r="31" spans="1:17" ht="15.75" customHeight="1" x14ac:dyDescent="0.25">
      <c r="A31" s="320"/>
      <c r="B31" s="171"/>
      <c r="C31" s="312" t="s">
        <v>210</v>
      </c>
      <c r="D31" s="355"/>
      <c r="E31" s="355"/>
      <c r="F31" s="315" t="s">
        <v>254</v>
      </c>
      <c r="G31" s="315"/>
      <c r="H31" s="315"/>
      <c r="I31" s="315" t="s">
        <v>255</v>
      </c>
      <c r="J31" s="102"/>
      <c r="K31" s="320"/>
    </row>
    <row r="32" spans="1:17" x14ac:dyDescent="0.25">
      <c r="A32" s="320"/>
      <c r="B32" s="171"/>
      <c r="C32" s="193" t="s">
        <v>628</v>
      </c>
      <c r="D32" s="129">
        <f>LOOKUP(ROUNDDOWN(F$26/5, 0)*5,'2015ER'!$D$6:$D$21,'2015ER'!$H$6:$H$21)+((F$26-ROUNDDOWN(F$26/5, 0)*5)/5)*(LOOKUP(ROUNDUP(F$26/5, 0)*5,'2015ER'!$D$6:$D$21,'2015ER'!$H$6:$H$21)-LOOKUP(ROUNDDOWN(F$26/5, 0)*5,'2015ER'!$D$6:$D$21,'2015ER'!$H$6:$H$21))</f>
        <v>429.8552244719927</v>
      </c>
      <c r="E32" s="129">
        <f>LOOKUP(ROUNDDOWN(F$26/5, 0)*5,'2025ER'!$D$6:$D$21,'2025ER'!$H$6:$H$21)+((F$26-ROUNDDOWN(F$26/5, 0)*5)/5)*(LOOKUP(ROUNDUP(F$26/5, 0)*5,'2025ER'!$D$6:$D$21,'2025ER'!$H$6:$H$21)-LOOKUP(ROUNDDOWN(F$26/5, 0)*5,'2025ER'!$D$6:$D$21,'2025ER'!$H$6:$H$21))</f>
        <v>324.46242152847361</v>
      </c>
      <c r="F32" s="129">
        <f t="shared" ref="F32:F45" si="4">TREND(D32:E32, D$6:E$6, F$6)</f>
        <v>377.15882300023441</v>
      </c>
      <c r="G32" s="129">
        <f>LOOKUP(ROUNDDOWN(I$26/5, 0)*5,'2015ER'!$D$6:$D$21,'2015ER'!$H$6:$H$21)+((I$26-ROUNDDOWN(I$26/5, 0)*5)/5)*(LOOKUP(ROUNDUP(I$26/5, 0)*5,'2015ER'!$D$6:$D$21,'2015ER'!$H$6:$H$21)-LOOKUP(ROUNDDOWN(I$26/5, 0)*5,'2015ER'!$D$6:$D$21,'2015ER'!$H$6:$H$21))</f>
        <v>429.8552244719927</v>
      </c>
      <c r="H32" s="129">
        <f>LOOKUP(ROUNDDOWN(I$26/5, 0)*5,'2025ER'!$D$6:$D$21,'2025ER'!$H$6:$H$21)+((I$26-ROUNDDOWN(I$26/5, 0)*5)/5)*(LOOKUP(ROUNDUP(I$26/5, 0)*5,'2025ER'!$D$6:$D$21,'2025ER'!$H$6:$H$21)-LOOKUP(ROUNDDOWN(I$26/5, 0)*5,'2025ER'!$D$6:$D$21,'2025ER'!$H$6:$H$21))</f>
        <v>324.46242152847361</v>
      </c>
      <c r="I32" s="129">
        <f>TREND(G32:H32, G$6:H$6, I$6)</f>
        <v>377.15882300023441</v>
      </c>
      <c r="J32" s="117"/>
      <c r="K32" s="320"/>
    </row>
    <row r="33" spans="1:11" x14ac:dyDescent="0.25">
      <c r="A33" s="320"/>
      <c r="B33" s="171"/>
      <c r="C33" s="193" t="s">
        <v>181</v>
      </c>
      <c r="D33" s="129">
        <f>LOOKUP(ROUNDDOWN(F$26/5, 0)*5,'2015ER'!$D$23:$D$38,'2015ER'!$H$23:$H$38)+((F$26-ROUNDDOWN(F$26/5, 0)*5)/5)*(LOOKUP(ROUNDUP(F$26/5, 0)*5,'2015ER'!$D$23:$D$38,'2015ER'!$H$23:$H$38)-LOOKUP(ROUNDDOWN(F$26/5, 0)*5,'2015ER'!$D$23:$D$38,'2015ER'!$H$23:$H$38))</f>
        <v>0.48808086318131777</v>
      </c>
      <c r="E33" s="129">
        <f>LOOKUP(ROUNDDOWN(F$26/5, 0)*5,'2025ER'!$D$23:$D$38,'2025ER'!$H$23:$H$38)+((F$26-ROUNDDOWN(F$26/5, 0)*5)/5)*(LOOKUP(ROUNDUP(F$26/5, 0)*5,'2025ER'!$D$23:$D$38,'2025ER'!$H$23:$H$38)-LOOKUP(ROUNDDOWN(F$26/5, 0)*5,'2025ER'!$D$23:$D$38,'2025ER'!$H$23:$H$38))</f>
        <v>0.10925745331575686</v>
      </c>
      <c r="F33" s="129">
        <f t="shared" si="4"/>
        <v>0.29866915824854345</v>
      </c>
      <c r="G33" s="129">
        <f>LOOKUP(ROUNDDOWN(I$26/5, 0)*5,'2015ER'!$D$23:$D$38,'2015ER'!$H$23:$H$38)+((I$26-ROUNDDOWN(I$26/5, 0)*5)/5)*(LOOKUP(ROUNDUP(I$26/5, 0)*5,'2015ER'!$D$23:$D$38,'2015ER'!$H$23:$H$38)-LOOKUP(ROUNDDOWN(I$26/5, 0)*5,'2015ER'!$D$23:$D$38,'2015ER'!$H$23:$H$38))</f>
        <v>0.48808086318131777</v>
      </c>
      <c r="H33" s="129">
        <f>LOOKUP(ROUNDDOWN(I$26/5, 0)*5,'2025ER'!$D$23:$D$38,'2025ER'!$H$23:$H$38)+((I$26-ROUNDDOWN(I$26/5, 0)*5)/5)*(LOOKUP(ROUNDUP(I$26/5, 0)*5,'2025ER'!$D$23:$D$38,'2025ER'!$H$23:$H$38)-LOOKUP(ROUNDDOWN(I$26/5, 0)*5,'2025ER'!$D$23:$D$38,'2025ER'!$H$23:$H$38))</f>
        <v>0.10925745331575686</v>
      </c>
      <c r="I33" s="129">
        <f t="shared" ref="I33:I45" si="5">TREND(G33:H33, G$6:H$6, I$6)</f>
        <v>0.29866915824854345</v>
      </c>
      <c r="J33" s="128"/>
      <c r="K33" s="320"/>
    </row>
    <row r="34" spans="1:11" x14ac:dyDescent="0.25">
      <c r="A34" s="320"/>
      <c r="B34" s="171"/>
      <c r="C34" s="193" t="s">
        <v>200</v>
      </c>
      <c r="D34" s="129">
        <f>LOOKUP(ROUNDDOWN(F$26/5, 0)*5,'2015ER'!$D$40:$D$55,'2015ER'!$H$40:$H$55)+((F$26-ROUNDDOWN(F$26/5, 0)*5)/5)*(LOOKUP(ROUNDUP(F$26/5, 0)*5,'2015ER'!$D$40:$D$55,'2015ER'!$H$40:$H$55)-LOOKUP(ROUNDDOWN(F$26/5, 0)*5,'2015ER'!$D$40:$D$55,'2015ER'!$H$40:$H$55))</f>
        <v>5.2471886709468205E-3</v>
      </c>
      <c r="E34" s="129">
        <f>LOOKUP(ROUNDDOWN(F$26/5, 0)*5,'2025ER'!$D$40:$D$55,'2025ER'!$H$40:$H$55)+((F$26-ROUNDDOWN(F$26/5, 0)*5)/5)*(LOOKUP(ROUNDUP(F$26/5, 0)*5,'2025ER'!$D$40:$D$55,'2025ER'!$H$40:$H$55)-LOOKUP(ROUNDDOWN(F$26/5, 0)*5,'2025ER'!$D$40:$D$55,'2025ER'!$H$40:$H$55))</f>
        <v>4.1385271625122158E-3</v>
      </c>
      <c r="F34" s="129">
        <f t="shared" si="4"/>
        <v>4.6928579167295204E-3</v>
      </c>
      <c r="G34" s="129">
        <f>LOOKUP(ROUNDDOWN(I$26/5, 0)*5,'2015ER'!$D$40:$D$55,'2015ER'!$H$40:$H$55)+((I$26-ROUNDDOWN(I$26/5, 0)*5)/5)*(LOOKUP(ROUNDUP(I$26/5, 0)*5,'2015ER'!$D$40:$D$55,'2015ER'!$H$40:$H$55)-LOOKUP(ROUNDDOWN(I$26/5, 0)*5,'2015ER'!$D$40:$D$55,'2015ER'!$H$40:$H$55))</f>
        <v>5.2471886709468205E-3</v>
      </c>
      <c r="H34" s="129">
        <f>LOOKUP(ROUNDDOWN(I$26/5, 0)*5,'2025ER'!$D$40:$D$55,'2025ER'!$H$40:$H$55)+((I$26-ROUNDDOWN(I$26/5, 0)*5)/5)*(LOOKUP(ROUNDUP(I$26/5, 0)*5,'2025ER'!$D$40:$D$55,'2025ER'!$H$40:$H$55)-LOOKUP(ROUNDDOWN(I$26/5, 0)*5,'2025ER'!$D$40:$D$55,'2025ER'!$H$40:$H$55))</f>
        <v>4.1385271625122158E-3</v>
      </c>
      <c r="I34" s="129">
        <f t="shared" si="5"/>
        <v>4.6928579167295204E-3</v>
      </c>
      <c r="J34" s="102"/>
      <c r="K34" s="320"/>
    </row>
    <row r="35" spans="1:11" x14ac:dyDescent="0.25">
      <c r="A35" s="320"/>
      <c r="B35" s="171"/>
      <c r="C35" s="193" t="s">
        <v>224</v>
      </c>
      <c r="D35" s="129">
        <f>LOOKUP(ROUNDDOWN(F$26/5, 0)*5,'2015ER'!$D$57:$D$72,'2015ER'!$H$57:$H$72)+((F$26-ROUNDDOWN(F$26/5, 0)*5)/5)*(LOOKUP(ROUNDUP(F$26/5, 0)*5,'2015ER'!$D$57:$D$72,'2015ER'!$H$57:$H$72)-LOOKUP(ROUNDDOWN(F$26/5, 0)*5,'2015ER'!$D$57:$D$72,'2015ER'!$H$57:$H$72))</f>
        <v>0.52628537544705078</v>
      </c>
      <c r="E35" s="129">
        <f>LOOKUP(ROUNDDOWN(F$26/5, 0)*5,'2025ER'!$D$57:$D$72,'2025ER'!$H$57:$H$72)+((F$26-ROUNDDOWN(F$26/5, 0)*5)/5)*(LOOKUP(ROUNDUP(F$26/5, 0)*5,'2025ER'!$D$57:$D$72,'2025ER'!$H$57:$H$72)-LOOKUP(ROUNDDOWN(F$26/5, 0)*5,'2025ER'!$D$57:$D$72,'2025ER'!$H$57:$H$72))</f>
        <v>0.11786472373404559</v>
      </c>
      <c r="F35" s="129">
        <f t="shared" si="4"/>
        <v>0.322075049590552</v>
      </c>
      <c r="G35" s="129">
        <f>LOOKUP(ROUNDDOWN(I$26/5, 0)*5,'2015ER'!$D$57:$D$72,'2015ER'!$H$57:$H$72)+((I$26-ROUNDDOWN(I$26/5, 0)*5)/5)*(LOOKUP(ROUNDUP(I$26/5, 0)*5,'2015ER'!$D$57:$D$72,'2015ER'!$H$57:$H$72)-LOOKUP(ROUNDDOWN(I$26/5, 0)*5,'2015ER'!$D$57:$D$72,'2015ER'!$H$57:$H$72))</f>
        <v>0.52628537544705078</v>
      </c>
      <c r="H35" s="129">
        <f>LOOKUP(ROUNDDOWN(I$26/5, 0)*5,'2025ER'!$D$57:$D$72,'2025ER'!$H$57:$H$72)+((I$26-ROUNDDOWN(I$26/5, 0)*5)/5)*(LOOKUP(ROUNDUP(I$26/5, 0)*5,'2025ER'!$D$57:$D$72,'2025ER'!$H$57:$H$72)-LOOKUP(ROUNDDOWN(I$26/5, 0)*5,'2025ER'!$D$57:$D$72,'2025ER'!$H$57:$H$72))</f>
        <v>0.11786472373404559</v>
      </c>
      <c r="I35" s="129">
        <f t="shared" si="5"/>
        <v>0.322075049590552</v>
      </c>
      <c r="J35" s="102"/>
      <c r="K35" s="320"/>
    </row>
    <row r="36" spans="1:11" x14ac:dyDescent="0.25">
      <c r="A36" s="320"/>
      <c r="B36" s="171"/>
      <c r="C36" s="193" t="s">
        <v>222</v>
      </c>
      <c r="D36" s="129">
        <f>LOOKUP(ROUNDDOWN(F$26/5, 0)*5,'2015ER'!$D$74:$D$89,'2015ER'!$H$74:$H$89)+((F$26-ROUNDDOWN(F$26/5, 0)*5)/5)*(LOOKUP(ROUNDUP(F$26/5, 0)*5,'2015ER'!$D$74:$D$89,'2015ER'!$H$74:$H$89)-LOOKUP(ROUNDDOWN(F$26/5, 0)*5,'2015ER'!$D$74:$D$89,'2015ER'!$H$74:$H$89))</f>
        <v>0.21186288934309744</v>
      </c>
      <c r="E36" s="129">
        <f>LOOKUP(ROUNDDOWN(F$26/5, 0)*5,'2025ER'!$D$74:$D$89,'2025ER'!$H$74:$H$89)+((F$26-ROUNDDOWN(F$26/5, 0)*5)/5)*(LOOKUP(ROUNDUP(F$26/5, 0)*5,'2025ER'!$D$74:$D$89,'2025ER'!$H$74:$H$89)-LOOKUP(ROUNDDOWN(F$26/5, 0)*5,'2025ER'!$D$74:$D$89,'2025ER'!$H$74:$H$89))</f>
        <v>7.0339827076593503E-2</v>
      </c>
      <c r="F36" s="129">
        <f t="shared" si="4"/>
        <v>0.14110135820984482</v>
      </c>
      <c r="G36" s="129">
        <f>LOOKUP(ROUNDDOWN(I$26/5, 0)*5,'2015ER'!$D$74:$D$89,'2015ER'!$H$74:$H$89)+((I$26-ROUNDDOWN(I$26/5, 0)*5)/5)*(LOOKUP(ROUNDUP(I$26/5, 0)*5,'2015ER'!$D$74:$D$89,'2015ER'!$H$74:$H$89)-LOOKUP(ROUNDDOWN(I$26/5, 0)*5,'2015ER'!$D$74:$D$89,'2015ER'!$H$74:$H$89))</f>
        <v>0.21186288934309744</v>
      </c>
      <c r="H36" s="129">
        <f>LOOKUP(ROUNDDOWN(I$26/5, 0)*5,'2025ER'!$D$74:$D$89,'2025ER'!$H$74:$H$89)+((I$26-ROUNDDOWN(I$26/5, 0)*5)/5)*(LOOKUP(ROUNDUP(I$26/5, 0)*5,'2025ER'!$D$74:$D$89,'2025ER'!$H$74:$H$89)-LOOKUP(ROUNDDOWN(I$26/5, 0)*5,'2025ER'!$D$74:$D$89,'2025ER'!$H$74:$H$89))</f>
        <v>7.0339827076593503E-2</v>
      </c>
      <c r="I36" s="129">
        <f t="shared" si="5"/>
        <v>0.14110135820984482</v>
      </c>
      <c r="J36" s="102"/>
      <c r="K36" s="320"/>
    </row>
    <row r="37" spans="1:11" x14ac:dyDescent="0.25">
      <c r="A37" s="368"/>
      <c r="B37" s="724"/>
      <c r="C37" s="193" t="s">
        <v>584</v>
      </c>
      <c r="D37" s="129">
        <f>LOOKUP(ROUNDDOWN(F$26/5, 0)*5,'2015ER'!$D$91:$D$106,'2015ER'!$H$91:$H$106)+((F$26-ROUNDDOWN(F$26/5, 0)*5)/5)*(LOOKUP(ROUNDUP(F$26/5, 0)*5,'2015ER'!$D$91:$D$106,'2015ER'!$H$91:$H$106)-LOOKUP(ROUNDDOWN(F$26/5, 0)*5,'2015ER'!$D$91:$D$106,'2015ER'!$H$91:$H$106))</f>
        <v>8.4637436727064471E-3</v>
      </c>
      <c r="E37" s="129">
        <f>LOOKUP(ROUNDDOWN(F$26/5, 0)*5,'2025ER'!$D$91:$D$106,'2025ER'!$H$91:$H$106)+((F$26-ROUNDDOWN(F$26/5, 0)*5)/5)*(LOOKUP(ROUNDUP(F$26/5, 0)*5,'2025ER'!$D$91:$D$106,'2025ER'!$H$91:$H$106)-LOOKUP(ROUNDDOWN(F$26/5, 0)*5,'2025ER'!$D$91:$D$106,'2025ER'!$H$91:$H$106))</f>
        <v>2.2018914442659154E-3</v>
      </c>
      <c r="F37" s="129">
        <f t="shared" ref="F37:F38" si="6">TREND(D37:E37, D$6:E$6, F$6)</f>
        <v>5.3328175584861359E-3</v>
      </c>
      <c r="G37" s="129">
        <f>LOOKUP(ROUNDDOWN(I$26/5, 0)*5,'2015ER'!$D$91:$D$106,'2015ER'!$H$91:$H$106)+((I$26-ROUNDDOWN(I$26/5, 0)*5)/5)*(LOOKUP(ROUNDUP(I$26/5, 0)*5,'2015ER'!$D$91:$D$106,'2015ER'!$H$91:$H$106)-LOOKUP(ROUNDDOWN(I$26/5, 0)*5,'2015ER'!$D$91:$D$106,'2015ER'!$H$91:$H$106))</f>
        <v>8.4637436727064471E-3</v>
      </c>
      <c r="H37" s="129">
        <f>LOOKUP(ROUNDDOWN(I$26/5, 0)*5,'2025ER'!$D$91:$D$106,'2025ER'!$H$91:$H$106)+((I$26-ROUNDDOWN(I$26/5, 0)*5)/5)*(LOOKUP(ROUNDUP(I$26/5, 0)*5,'2025ER'!$D$91:$D$106,'2025ER'!$H$91:$H$106)-LOOKUP(ROUNDDOWN(I$26/5, 0)*5,'2025ER'!$D$91:$D$106,'2025ER'!$H$91:$H$106))</f>
        <v>2.2018914442659154E-3</v>
      </c>
      <c r="I37" s="129">
        <f>TREND(G37:H37, G$6:H$6, I$6)</f>
        <v>5.3328175584861359E-3</v>
      </c>
      <c r="J37" s="102"/>
      <c r="K37" s="368"/>
    </row>
    <row r="38" spans="1:11" x14ac:dyDescent="0.25">
      <c r="A38" s="368"/>
      <c r="B38" s="724"/>
      <c r="C38" s="193" t="s">
        <v>585</v>
      </c>
      <c r="D38" s="129">
        <f>LOOKUP(ROUNDDOWN(F$26/5, 0)*5,'2015ER'!$D$108:$D$123,'2015ER'!$H$108:$H$123)+((F$26-ROUNDDOWN(F$26/5, 0)*5)/5)*(LOOKUP(ROUNDUP(F$26/5, 0)*5,'2015ER'!$D$108:$D$123,'2015ER'!$H$108:$H$123)-LOOKUP(ROUNDDOWN(F$26/5, 0)*5,'2015ER'!$D$108:$D$123,'2015ER'!$H$108:$H$123))</f>
        <v>3.4150391768496875</v>
      </c>
      <c r="E38" s="129">
        <f>LOOKUP(ROUNDDOWN(F$26/5, 0)*5,'2025ER'!$D$108:$D$123,'2025ER'!$H$108:$H$123)+((F$26-ROUNDDOWN(F$26/5, 0)*5)/5)*(LOOKUP(ROUNDUP(F$26/5, 0)*5,'2025ER'!$D$108:$D$123,'2025ER'!$H$108:$H$123)-LOOKUP(ROUNDDOWN(F$26/5, 0)*5,'2025ER'!$D$108:$D$123,'2025ER'!$H$108:$H$123))</f>
        <v>1.8790947090214958</v>
      </c>
      <c r="F38" s="129">
        <f t="shared" si="6"/>
        <v>2.6470669429355667</v>
      </c>
      <c r="G38" s="129">
        <f>LOOKUP(ROUNDDOWN(I$26/5, 0)*5,'2015ER'!$D$108:$D$123,'2015ER'!$H$108:$H$123)+((I$26-ROUNDDOWN(I$26/5, 0)*5)/5)*(LOOKUP(ROUNDUP(I$26/5, 0)*5,'2015ER'!$D$108:$D$123,'2015ER'!$H$108:$H$123)-LOOKUP(ROUNDDOWN(I$26/5, 0)*5,'2015ER'!$D$108:$D$123,'2015ER'!$H$108:$H$123))</f>
        <v>3.4150391768496875</v>
      </c>
      <c r="H38" s="129">
        <f>LOOKUP(ROUNDDOWN(I$26/5, 0)*5,'2025ER'!$D$108:$D$123,'2025ER'!$H$108:$H$123)+((I$26-ROUNDDOWN(I$26/5, 0)*5)/5)*(LOOKUP(ROUNDUP(I$26/5, 0)*5,'2025ER'!$D$108:$D$123,'2025ER'!$H$108:$H$123)-LOOKUP(ROUNDDOWN(I$26/5, 0)*5,'2025ER'!$D$108:$D$123,'2025ER'!$H$108:$H$123))</f>
        <v>1.8790947090214958</v>
      </c>
      <c r="I38" s="129">
        <f t="shared" ref="I38" si="7">TREND(G38:H38, G$6:H$6, I$6)</f>
        <v>2.6470669429355667</v>
      </c>
      <c r="J38" s="102"/>
      <c r="K38" s="368"/>
    </row>
    <row r="39" spans="1:11" x14ac:dyDescent="0.25">
      <c r="A39" s="320"/>
      <c r="B39" s="171"/>
      <c r="C39" s="193" t="s">
        <v>629</v>
      </c>
      <c r="D39" s="129">
        <f>LOOKUP(ROUNDDOWN(F$26/5, 0)*5,'2015ER'!$D$6:$D$21,'2015ER'!$W$6:$W$21)+((F$26-ROUNDDOWN(F$26/5, 0)*5)/5)*(LOOKUP(ROUNDUP(F$26/5, 0)*5,'2015ER'!$D$6:$D$21,'2015ER'!$W$6:$W$21)-LOOKUP(ROUNDDOWN(F$26/5, 0)*5,'2015ER'!$D$6:$D$21,'2015ER'!$W$6:$W$21))</f>
        <v>1903.509681737821</v>
      </c>
      <c r="E39" s="129">
        <f>LOOKUP(ROUNDDOWN(F$26/5, 0)*5,'2025ER'!$D$6:$D$21,'2025ER'!$W$6:$W$21)+((F$26-ROUNDDOWN(F$26/5, 0)*5)/5)*(LOOKUP(ROUNDUP(F$26/5, 0)*5,'2025ER'!$D$6:$D$21,'2025ER'!$W$6:$W$21)-LOOKUP(ROUNDDOWN(F$26/5, 0)*5,'2025ER'!$D$6:$D$21,'2025ER'!$W$6:$W$21))</f>
        <v>1781.8612791975106</v>
      </c>
      <c r="F39" s="129">
        <f t="shared" si="4"/>
        <v>1842.6854804676659</v>
      </c>
      <c r="G39" s="129">
        <f>LOOKUP(ROUNDDOWN(I$26/5, 0)*5,'2015ER'!$D$6:$D$21,'2015ER'!$W$6:$W$21)+((I$26-ROUNDDOWN(I$26/5, 0)*5)/5)*(LOOKUP(ROUNDUP(I$26/5, 0)*5,'2015ER'!$D$6:$D$21,'2015ER'!$W$6:$W$21)-LOOKUP(ROUNDDOWN(I$26/5, 0)*5,'2015ER'!$D$6:$D$21,'2015ER'!$W$6:$W$21))</f>
        <v>1903.509681737821</v>
      </c>
      <c r="H39" s="129">
        <f>LOOKUP(ROUNDDOWN(I$26/5, 0)*5,'2025ER'!$D$6:$D$21,'2025ER'!$W$6:$W$21)+((I$26-ROUNDDOWN(I$26/5, 0)*5)/5)*(LOOKUP(ROUNDUP(I$26/5, 0)*5,'2025ER'!$D$6:$D$21,'2025ER'!$W$6:$W$21)-LOOKUP(ROUNDDOWN(I$26/5, 0)*5,'2025ER'!$D$6:$D$21,'2025ER'!$W$6:$W$21))</f>
        <v>1781.8612791975106</v>
      </c>
      <c r="I39" s="129">
        <f t="shared" si="5"/>
        <v>1842.6854804676659</v>
      </c>
      <c r="J39" s="117"/>
      <c r="K39" s="320"/>
    </row>
    <row r="40" spans="1:11" x14ac:dyDescent="0.25">
      <c r="A40" s="320"/>
      <c r="B40" s="171"/>
      <c r="C40" s="193" t="s">
        <v>212</v>
      </c>
      <c r="D40" s="129">
        <f>LOOKUP(ROUNDDOWN(F$26/5, 0)*5,'2015ER'!$D$23:$D$38,'2015ER'!$W$23:$W$38)+((F$26-ROUNDDOWN(F$26/5, 0)*5)/5)*(LOOKUP(ROUNDUP(F$26/5, 0)*5,'2015ER'!$D$23:$D$38,'2015ER'!$W$23:$W$38)-LOOKUP(ROUNDDOWN(F$26/5, 0)*5,'2015ER'!$D$23:$D$38,'2015ER'!$W$23:$W$38))</f>
        <v>7.659232233121303</v>
      </c>
      <c r="E40" s="129">
        <f>LOOKUP(ROUNDDOWN(F$26/5, 0)*5,'2025ER'!$D$23:$D$38,'2025ER'!$W$23:$W$38)+((F$26-ROUNDDOWN(F$26/5, 0)*5)/5)*(LOOKUP(ROUNDUP(F$26/5, 0)*5,'2025ER'!$D$23:$D$38,'2025ER'!$W$23:$W$38)-LOOKUP(ROUNDDOWN(F$26/5, 0)*5,'2025ER'!$D$23:$D$38,'2025ER'!$W$23:$W$38))</f>
        <v>2.45668391541223</v>
      </c>
      <c r="F40" s="129">
        <f t="shared" si="4"/>
        <v>5.0579580742667076</v>
      </c>
      <c r="G40" s="129">
        <f>LOOKUP(ROUNDDOWN(I$26/5, 0)*5,'2015ER'!$D$23:$D$38,'2015ER'!$W$23:$W$38)+((I$26-ROUNDDOWN(I$26/5, 0)*5)/5)*(LOOKUP(ROUNDUP(I$26/5, 0)*5,'2015ER'!$D$23:$D$38,'2015ER'!$W$23:$W$38)-LOOKUP(ROUNDDOWN(I$26/5, 0)*5,'2015ER'!$D$23:$D$38,'2015ER'!$W$23:$W$38))</f>
        <v>7.659232233121303</v>
      </c>
      <c r="H40" s="129">
        <f>LOOKUP(ROUNDDOWN(I$26/5, 0)*5,'2025ER'!$D$23:$D$38,'2025ER'!$W$23:$W$38)+((I$26-ROUNDDOWN(I$26/5, 0)*5)/5)*(LOOKUP(ROUNDUP(I$26/5, 0)*5,'2025ER'!$D$23:$D$38,'2025ER'!$W$23:$W$38)-LOOKUP(ROUNDDOWN(I$26/5, 0)*5,'2025ER'!$D$23:$D$38,'2025ER'!$W$23:$W$38))</f>
        <v>2.45668391541223</v>
      </c>
      <c r="I40" s="129">
        <f t="shared" si="5"/>
        <v>5.0579580742667076</v>
      </c>
      <c r="J40" s="102"/>
      <c r="K40" s="320"/>
    </row>
    <row r="41" spans="1:11" x14ac:dyDescent="0.25">
      <c r="A41" s="320"/>
      <c r="B41" s="171"/>
      <c r="C41" s="193" t="s">
        <v>211</v>
      </c>
      <c r="D41" s="129">
        <f>LOOKUP(ROUNDDOWN(F$26/5, 0)*5,'2015ER'!$D$40:$D$55,'2015ER'!$W$40:$W$55)+((F$26-ROUNDDOWN(F$26/5, 0)*5)/5)*(LOOKUP(ROUNDUP(F$26/5, 0)*5,'2015ER'!$D$40:$D$55,'2015ER'!$W$40:$W$55)-LOOKUP(ROUNDDOWN(F$26/5, 0)*5,'2015ER'!$D$40:$D$55,'2015ER'!$W$40:$W$55))</f>
        <v>0.13243941193749575</v>
      </c>
      <c r="E41" s="129">
        <f>LOOKUP(ROUNDDOWN(F$26/5, 0)*5,'2025ER'!$D$40:$D$55,'2025ER'!$W$40:$W$55)+((F$26-ROUNDDOWN(F$26/5, 0)*5)/5)*(LOOKUP(ROUNDUP(F$26/5, 0)*5,'2025ER'!$D$40:$D$55,'2025ER'!$W$40:$W$55)-LOOKUP(ROUNDDOWN(F$26/5, 0)*5,'2025ER'!$D$40:$D$55,'2025ER'!$W$40:$W$55))</f>
        <v>4.0015724395901633E-2</v>
      </c>
      <c r="F41" s="129">
        <f t="shared" si="4"/>
        <v>8.6227568166698632E-2</v>
      </c>
      <c r="G41" s="129">
        <f>LOOKUP(ROUNDDOWN(I$26/5, 0)*5,'2015ER'!$D$40:$D$55,'2015ER'!$W$40:$W$55)+((I$26-ROUNDDOWN(I$26/5, 0)*5)/5)*(LOOKUP(ROUNDUP(I$26/5, 0)*5,'2015ER'!$D$40:$D$55,'2015ER'!$W$40:$W$55)-LOOKUP(ROUNDDOWN(I$26/5, 0)*5,'2015ER'!$D$40:$D$55,'2015ER'!$W$40:$W$55))</f>
        <v>0.13243941193749575</v>
      </c>
      <c r="H41" s="129">
        <f>LOOKUP(ROUNDDOWN(I$26/5, 0)*5,'2025ER'!$D$40:$D$55,'2025ER'!$W$40:$W$55)+((I$26-ROUNDDOWN(I$26/5, 0)*5)/5)*(LOOKUP(ROUNDUP(I$26/5, 0)*5,'2025ER'!$D$40:$D$55,'2025ER'!$W$40:$W$55)-LOOKUP(ROUNDDOWN(I$26/5, 0)*5,'2025ER'!$D$40:$D$55,'2025ER'!$W$40:$W$55))</f>
        <v>4.0015724395901633E-2</v>
      </c>
      <c r="I41" s="129">
        <f t="shared" si="5"/>
        <v>8.6227568166698632E-2</v>
      </c>
      <c r="J41" s="102"/>
      <c r="K41" s="320"/>
    </row>
    <row r="42" spans="1:11" x14ac:dyDescent="0.25">
      <c r="A42" s="320"/>
      <c r="B42" s="171"/>
      <c r="C42" s="193" t="s">
        <v>225</v>
      </c>
      <c r="D42" s="129">
        <f>LOOKUP(ROUNDDOWN(F$26/5, 0)*5,'2015ER'!$D$57:$D$72,'2015ER'!$W$57:$W$72)+((F$26-ROUNDDOWN(F$26/5, 0)*5)/5)*(LOOKUP(ROUNDUP(F$26/5, 0)*5,'2015ER'!$D$57:$D$72,'2015ER'!$W$57:$W$72)-LOOKUP(ROUNDDOWN(F$26/5, 0)*5,'2015ER'!$D$57:$D$72,'2015ER'!$W$57:$W$72))</f>
        <v>7.3555475785853215</v>
      </c>
      <c r="E42" s="129">
        <f>LOOKUP(ROUNDDOWN(F$26/5, 0)*5,'2025ER'!$D$57:$D$72,'2025ER'!$W$57:$W$72)+((F$26-ROUNDDOWN(F$26/5, 0)*5)/5)*(LOOKUP(ROUNDUP(F$26/5, 0)*5,'2025ER'!$D$57:$D$72,'2025ER'!$W$57:$W$72)-LOOKUP(ROUNDDOWN(F$26/5, 0)*5,'2025ER'!$D$57:$D$72,'2025ER'!$W$57:$W$72))</f>
        <v>2.3595158302924211</v>
      </c>
      <c r="F42" s="129">
        <f t="shared" si="4"/>
        <v>4.8575317044388839</v>
      </c>
      <c r="G42" s="129">
        <f>LOOKUP(ROUNDDOWN(I$26/5, 0)*5,'2015ER'!$D$57:$D$72,'2015ER'!$W$57:$W$72)+((I$26-ROUNDDOWN(I$26/5, 0)*5)/5)*(LOOKUP(ROUNDUP(I$26/5, 0)*5,'2015ER'!$D$57:$D$72,'2015ER'!$W$57:$W$72)-LOOKUP(ROUNDDOWN(I$26/5, 0)*5,'2015ER'!$D$57:$D$72,'2015ER'!$W$57:$W$72))</f>
        <v>7.3555475785853215</v>
      </c>
      <c r="H42" s="129">
        <f>LOOKUP(ROUNDDOWN(I$26/5, 0)*5,'2025ER'!$D$57:$D$72,'2025ER'!$W$57:$W$72)+((I$26-ROUNDDOWN(I$26/5, 0)*5)/5)*(LOOKUP(ROUNDUP(I$26/5, 0)*5,'2025ER'!$D$57:$D$72,'2025ER'!$W$57:$W$72)-LOOKUP(ROUNDDOWN(I$26/5, 0)*5,'2025ER'!$D$57:$D$72,'2025ER'!$W$57:$W$72))</f>
        <v>2.3595158302924211</v>
      </c>
      <c r="I42" s="129">
        <f t="shared" si="5"/>
        <v>4.8575317044388839</v>
      </c>
      <c r="J42" s="102"/>
      <c r="K42" s="320"/>
    </row>
    <row r="43" spans="1:11" x14ac:dyDescent="0.25">
      <c r="A43" s="320"/>
      <c r="B43" s="171"/>
      <c r="C43" s="193" t="s">
        <v>223</v>
      </c>
      <c r="D43" s="129">
        <f>LOOKUP(ROUNDDOWN(F$26/5, 0)*5,'2015ER'!$D$74:$D$89,'2015ER'!$W$74:$W$89)+((F$26-ROUNDDOWN(F$26/5, 0)*5)/5)*(LOOKUP(ROUNDUP(F$26/5, 0)*5,'2015ER'!$D$74:$D$89,'2015ER'!$W$74:$W$89)-LOOKUP(ROUNDDOWN(F$26/5, 0)*5,'2015ER'!$D$74:$D$89,'2015ER'!$W$74:$W$89))</f>
        <v>0.70578886827291609</v>
      </c>
      <c r="E43" s="129">
        <f>LOOKUP(ROUNDDOWN(F$26/5, 0)*5,'2025ER'!$D$74:$D$89,'2025ER'!$W$74:$W$89)+((F$26-ROUNDDOWN(F$26/5, 0)*5)/5)*(LOOKUP(ROUNDUP(F$26/5, 0)*5,'2025ER'!$D$74:$D$89,'2025ER'!$W$74:$W$89)-LOOKUP(ROUNDDOWN(F$26/5, 0)*5,'2025ER'!$D$74:$D$89,'2025ER'!$W$74:$W$89))</f>
        <v>0.37634346544882041</v>
      </c>
      <c r="F43" s="129">
        <f t="shared" si="4"/>
        <v>0.5410661668608725</v>
      </c>
      <c r="G43" s="129">
        <f>LOOKUP(ROUNDDOWN(I$26/5, 0)*5,'2015ER'!$D$74:$D$89,'2015ER'!$W$74:$W$89)+((I$26-ROUNDDOWN(I$26/5, 0)*5)/5)*(LOOKUP(ROUNDUP(I$26/5, 0)*5,'2015ER'!$D$74:$D$89,'2015ER'!$W$74:$W$89)-LOOKUP(ROUNDDOWN(I$26/5, 0)*5,'2015ER'!$D$74:$D$89,'2015ER'!$W$74:$W$89))</f>
        <v>0.70578886827291609</v>
      </c>
      <c r="H43" s="129">
        <f>LOOKUP(ROUNDDOWN(I$26/5, 0)*5,'2025ER'!$D$74:$D$89,'2025ER'!$W$74:$W$89)+((I$26-ROUNDDOWN(I$26/5, 0)*5)/5)*(LOOKUP(ROUNDUP(I$26/5, 0)*5,'2025ER'!$D$74:$D$89,'2025ER'!$W$74:$W$89)-LOOKUP(ROUNDDOWN(I$26/5, 0)*5,'2025ER'!$D$74:$D$89,'2025ER'!$W$74:$W$89))</f>
        <v>0.37634346544882041</v>
      </c>
      <c r="I43" s="129">
        <f t="shared" si="5"/>
        <v>0.5410661668608725</v>
      </c>
      <c r="J43" s="102"/>
      <c r="K43" s="320"/>
    </row>
    <row r="44" spans="1:11" x14ac:dyDescent="0.25">
      <c r="A44" s="368"/>
      <c r="B44" s="724"/>
      <c r="C44" s="193" t="s">
        <v>588</v>
      </c>
      <c r="D44" s="129">
        <f>LOOKUP(ROUNDDOWN(F$26/5, 0)*5,'2015ER'!$D$91:$D$106,'2015ER'!$W$91:$W$106)+((F$26-ROUNDDOWN(F$26/5, 0)*5)/5)*(LOOKUP(ROUNDUP(F$26/5, 0)*5,'2015ER'!$D$91:$D$106,'2015ER'!$W$91:$W$106)-LOOKUP(ROUNDDOWN(F$26/5, 0)*5,'2015ER'!$D$91:$D$106,'2015ER'!$W$91:$W$106))</f>
        <v>1.6960782724887716E-2</v>
      </c>
      <c r="E44" s="129">
        <f>LOOKUP(ROUNDDOWN(F$26/5, 0)*5,'2025ER'!$D$91:$D$106,'2025ER'!$W$91:$W$106)+((F$26-ROUNDDOWN(F$26/5, 0)*5)/5)*(LOOKUP(ROUNDUP(F$26/5, 0)*5,'2025ER'!$D$91:$D$106,'2025ER'!$W$91:$W$106)-LOOKUP(ROUNDDOWN(F$26/5, 0)*5,'2025ER'!$D$91:$D$106,'2025ER'!$W$91:$W$106))</f>
        <v>1.5253253481289135E-2</v>
      </c>
      <c r="F44" s="129">
        <f t="shared" si="4"/>
        <v>1.61070181030884E-2</v>
      </c>
      <c r="G44" s="129">
        <f>LOOKUP(ROUNDDOWN(I$26/5, 0)*5,'2015ER'!$D$91:$D$106,'2015ER'!$W$91:$W$106)+((I$26-ROUNDDOWN(I$26/5, 0)*5)/5)*(LOOKUP(ROUNDUP(I$26/5, 0)*5,'2015ER'!$D$91:$D$106,'2015ER'!$W$91:$W$106)-LOOKUP(ROUNDDOWN(I$26/5, 0)*5,'2015ER'!$D$91:$D$106,'2015ER'!$W$91:$W$106))</f>
        <v>1.6960782724887716E-2</v>
      </c>
      <c r="H44" s="129">
        <f>LOOKUP(ROUNDDOWN(I$26/5, 0)*5,'2025ER'!$D$91:$D$106,'2025ER'!$W$91:$W$106)+((I$26-ROUNDDOWN(I$26/5, 0)*5)/5)*(LOOKUP(ROUNDUP(I$26/5, 0)*5,'2025ER'!$D$91:$D$106,'2025ER'!$W$91:$W$106)-LOOKUP(ROUNDDOWN(I$26/5, 0)*5,'2025ER'!$D$91:$D$106,'2025ER'!$W$91:$W$106))</f>
        <v>1.5253253481289135E-2</v>
      </c>
      <c r="I44" s="129">
        <f t="shared" si="5"/>
        <v>1.61070181030884E-2</v>
      </c>
      <c r="J44" s="102"/>
      <c r="K44" s="368"/>
    </row>
    <row r="45" spans="1:11" x14ac:dyDescent="0.25">
      <c r="A45" s="368"/>
      <c r="B45" s="724"/>
      <c r="C45" s="193" t="s">
        <v>589</v>
      </c>
      <c r="D45" s="129">
        <f>LOOKUP(ROUNDDOWN(F$26/5, 0)*5,'2015ER'!$D$108:$D$123,'2015ER'!$W$108:$W$123)+((F$26-ROUNDDOWN(F$26/5, 0)*5)/5)*(LOOKUP(ROUNDUP(F$26/5, 0)*5,'2015ER'!$D$108:$D$123,'2015ER'!$W$108:$W$123)-LOOKUP(ROUNDDOWN(F$26/5, 0)*5,'2015ER'!$D$108:$D$123,'2015ER'!$W$108:$W$123))</f>
        <v>2.4079104803342499</v>
      </c>
      <c r="E45" s="129">
        <f>LOOKUP(ROUNDDOWN(F$26/5, 0)*5,'2025ER'!$D$108:$D$123,'2025ER'!$W$108:$W$123)+((F$26-ROUNDDOWN(F$26/5, 0)*5)/5)*(LOOKUP(ROUNDUP(F$26/5, 0)*5,'2025ER'!$D$108:$D$123,'2025ER'!$W$108:$W$123)-LOOKUP(ROUNDDOWN(F$26/5, 0)*5,'2025ER'!$D$108:$D$123,'2025ER'!$W$108:$W$123))</f>
        <v>0.77541776066631529</v>
      </c>
      <c r="F45" s="129">
        <f t="shared" si="4"/>
        <v>1.5916641205002975</v>
      </c>
      <c r="G45" s="129">
        <f>LOOKUP(ROUNDDOWN(I$26/5, 0)*5,'2015ER'!$D$108:$D$123,'2015ER'!$W$108:$W$123)+((I$26-ROUNDDOWN(I$26/5, 0)*5)/5)*(LOOKUP(ROUNDUP(I$26/5, 0)*5,'2015ER'!$D$108:$D$123,'2015ER'!$W$108:$W$123)-LOOKUP(ROUNDDOWN(I$26/5, 0)*5,'2015ER'!$D$108:$D$123,'2015ER'!$W$108:$W$123))</f>
        <v>2.4079104803342499</v>
      </c>
      <c r="H45" s="129">
        <f>LOOKUP(ROUNDDOWN(I$26/5, 0)*5,'2025ER'!$D$108:$D$123,'2025ER'!$W$108:$W$123)+((I$26-ROUNDDOWN(I$26/5, 0)*5)/5)*(LOOKUP(ROUNDUP(I$26/5, 0)*5,'2025ER'!$D$108:$D$123,'2025ER'!$W$108:$W$123)-LOOKUP(ROUNDDOWN(I$26/5, 0)*5,'2025ER'!$D$108:$D$123,'2025ER'!$W$108:$W$123))</f>
        <v>0.77541776066631529</v>
      </c>
      <c r="I45" s="129">
        <f t="shared" si="5"/>
        <v>1.5916641205002975</v>
      </c>
      <c r="J45" s="102"/>
      <c r="K45" s="368"/>
    </row>
    <row r="46" spans="1:11" x14ac:dyDescent="0.25">
      <c r="A46" s="320"/>
      <c r="B46" s="171"/>
      <c r="C46" s="312" t="s">
        <v>213</v>
      </c>
      <c r="D46" s="200"/>
      <c r="E46" s="200"/>
      <c r="F46" s="200"/>
      <c r="G46" s="200"/>
      <c r="H46" s="200"/>
      <c r="I46" s="200"/>
      <c r="J46" s="102"/>
      <c r="K46" s="320"/>
    </row>
    <row r="47" spans="1:11" x14ac:dyDescent="0.25">
      <c r="A47" s="320"/>
      <c r="B47" s="171"/>
      <c r="C47" s="193" t="s">
        <v>628</v>
      </c>
      <c r="D47" s="129">
        <f>LOOKUP(ROUNDDOWN(F$27/5, 0)*5,'2015ER'!$D$6:$D$21,'2015ER'!$H$6:$H$21)+((F$27-ROUNDDOWN(F$27/5, 0)*5)/5)*(LOOKUP(ROUNDUP(F$27/5, 0)*5,'2015ER'!$D$6:$D$21,'2015ER'!$H$6:$H$21)-LOOKUP(ROUNDDOWN(F$27/5, 0)*5,'2015ER'!$D$6:$D$21,'2015ER'!$H$6:$H$21))</f>
        <v>414.99128923518214</v>
      </c>
      <c r="E47" s="129">
        <f>LOOKUP(ROUNDDOWN(F$27/5, 0)*5,'2025ER'!$D$6:$D$21,'2025ER'!$H$6:$H$21)+((F$27-ROUNDDOWN(F$27/5, 0)*5)/5)*(LOOKUP(ROUNDUP(F$27/5, 0)*5,'2025ER'!$D$6:$D$21,'2025ER'!$H$6:$H$21)-LOOKUP(ROUNDDOWN(F$27/5, 0)*5,'2025ER'!$D$6:$D$21,'2025ER'!$H$6:$H$21))</f>
        <v>313.24285701974401</v>
      </c>
      <c r="F47" s="129">
        <f t="shared" ref="F47:F60" si="8">TREND(D47:E47, D$6:E$6, F$6)</f>
        <v>364.11707312746148</v>
      </c>
      <c r="G47" s="129">
        <f>LOOKUP(ROUNDDOWN(I$27/5, 0)*5,'2015ER'!$D$6:$D$21,'2015ER'!$H$6:$H$21)+((I$27-ROUNDDOWN(I$27/5, 0)*5)/5)*(LOOKUP(ROUNDUP(I$27/5, 0)*5,'2015ER'!$D$6:$D$21,'2015ER'!$H$6:$H$21)-LOOKUP(ROUNDDOWN(I$27/5, 0)*5,'2015ER'!$D$6:$D$21,'2015ER'!$H$6:$H$21))</f>
        <v>414.99128923518214</v>
      </c>
      <c r="H47" s="129">
        <f>LOOKUP(ROUNDDOWN(I$27/5, 0)*5,'2025ER'!$D$6:$D$21,'2025ER'!$H$6:$H$21)+((I$27-ROUNDDOWN(I$27/5, 0)*5)/5)*(LOOKUP(ROUNDUP(I$27/5, 0)*5,'2025ER'!$D$6:$D$21,'2025ER'!$H$6:$H$21)-LOOKUP(ROUNDDOWN(I$27/5, 0)*5,'2025ER'!$D$6:$D$21,'2025ER'!$H$6:$H$21))</f>
        <v>313.24285701974401</v>
      </c>
      <c r="I47" s="129">
        <f t="shared" ref="I47:I60" si="9">TREND(G47:H47, G$6:H$6, I$6)</f>
        <v>364.11707312746148</v>
      </c>
      <c r="J47" s="102"/>
      <c r="K47" s="320"/>
    </row>
    <row r="48" spans="1:11" x14ac:dyDescent="0.25">
      <c r="A48" s="320"/>
      <c r="B48" s="171"/>
      <c r="C48" s="193" t="s">
        <v>181</v>
      </c>
      <c r="D48" s="129">
        <f>LOOKUP(ROUNDDOWN(F$27/5, 0)*5,'2015ER'!$D$23:$D$38,'2015ER'!$H$23:$H$38)+((F$27-ROUNDDOWN(F$27/5, 0)*5)/5)*(LOOKUP(ROUNDUP(F$27/5, 0)*5,'2015ER'!$D$23:$D$38,'2015ER'!$H$23:$H$38)-LOOKUP(ROUNDDOWN(F$27/5, 0)*5,'2015ER'!$D$23:$D$38,'2015ER'!$H$23:$H$38))</f>
        <v>0.47222199985683799</v>
      </c>
      <c r="E48" s="129">
        <f>LOOKUP(ROUNDDOWN(F$27/5, 0)*5,'2025ER'!$D$23:$D$38,'2025ER'!$H$23:$H$38)+((F$27-ROUNDDOWN(F$27/5, 0)*5)/5)*(LOOKUP(ROUNDUP(F$27/5, 0)*5,'2025ER'!$D$23:$D$38,'2025ER'!$H$23:$H$38)-LOOKUP(ROUNDDOWN(F$27/5, 0)*5,'2025ER'!$D$23:$D$38,'2025ER'!$H$23:$H$38))</f>
        <v>0.10570742882182041</v>
      </c>
      <c r="F48" s="129">
        <f t="shared" si="8"/>
        <v>0.28896471433932902</v>
      </c>
      <c r="G48" s="129">
        <f>LOOKUP(ROUNDDOWN(I$27/5, 0)*5,'2015ER'!$D$23:$D$38,'2015ER'!$H$23:$H$38)+((I$27-ROUNDDOWN(I$27/5, 0)*5)/5)*(LOOKUP(ROUNDUP(I$27/5, 0)*5,'2015ER'!$D$23:$D$38,'2015ER'!$H$23:$H$38)-LOOKUP(ROUNDDOWN(I$27/5, 0)*5,'2015ER'!$D$23:$D$38,'2015ER'!$H$23:$H$38))</f>
        <v>0.47222199985683799</v>
      </c>
      <c r="H48" s="129">
        <f>LOOKUP(ROUNDDOWN(I$27/5, 0)*5,'2025ER'!$D$23:$D$38,'2025ER'!$H$23:$H$38)+((I$27-ROUNDDOWN(I$27/5, 0)*5)/5)*(LOOKUP(ROUNDUP(I$27/5, 0)*5,'2025ER'!$D$23:$D$38,'2025ER'!$H$23:$H$38)-LOOKUP(ROUNDDOWN(I$27/5, 0)*5,'2025ER'!$D$23:$D$38,'2025ER'!$H$23:$H$38))</f>
        <v>0.10570742882182041</v>
      </c>
      <c r="I48" s="129">
        <f t="shared" si="9"/>
        <v>0.28896471433932902</v>
      </c>
      <c r="J48" s="102"/>
      <c r="K48" s="320"/>
    </row>
    <row r="49" spans="1:11" x14ac:dyDescent="0.25">
      <c r="A49" s="320"/>
      <c r="B49" s="171"/>
      <c r="C49" s="193" t="s">
        <v>200</v>
      </c>
      <c r="D49" s="129">
        <f>LOOKUP(ROUNDDOWN(F$27/5, 0)*5,'2015ER'!$D$40:$D$55,'2015ER'!$H$40:$H$55)+((F$27-ROUNDDOWN(F$27/5, 0)*5)/5)*(LOOKUP(ROUNDUP(F$27/5, 0)*5,'2015ER'!$D$40:$D$55,'2015ER'!$H$40:$H$55)-LOOKUP(ROUNDDOWN(F$27/5, 0)*5,'2015ER'!$D$40:$D$55,'2015ER'!$H$40:$H$55))</f>
        <v>4.9634611726392447E-3</v>
      </c>
      <c r="E49" s="129">
        <f>LOOKUP(ROUNDDOWN(F$27/5, 0)*5,'2025ER'!$D$40:$D$55,'2025ER'!$H$40:$H$55)+((F$27-ROUNDDOWN(F$27/5, 0)*5)/5)*(LOOKUP(ROUNDUP(F$27/5, 0)*5,'2025ER'!$D$40:$D$55,'2025ER'!$H$40:$H$55)-LOOKUP(ROUNDDOWN(F$27/5, 0)*5,'2025ER'!$D$40:$D$55,'2025ER'!$H$40:$H$55))</f>
        <v>3.9147475288582841E-3</v>
      </c>
      <c r="F49" s="129">
        <f t="shared" si="8"/>
        <v>4.4391043507487626E-3</v>
      </c>
      <c r="G49" s="129">
        <f>LOOKUP(ROUNDDOWN(I$27/5, 0)*5,'2015ER'!$D$40:$D$55,'2015ER'!$H$40:$H$55)+((I$27-ROUNDDOWN(I$27/5, 0)*5)/5)*(LOOKUP(ROUNDUP(I$27/5, 0)*5,'2015ER'!$D$40:$D$55,'2015ER'!$H$40:$H$55)-LOOKUP(ROUNDDOWN(I$27/5, 0)*5,'2015ER'!$D$40:$D$55,'2015ER'!$H$40:$H$55))</f>
        <v>4.9634611726392447E-3</v>
      </c>
      <c r="H49" s="129">
        <f>LOOKUP(ROUNDDOWN(I$27/5, 0)*5,'2025ER'!$D$40:$D$55,'2025ER'!$H$40:$H$55)+((I$27-ROUNDDOWN(I$27/5, 0)*5)/5)*(LOOKUP(ROUNDUP(I$27/5, 0)*5,'2025ER'!$D$40:$D$55,'2025ER'!$H$40:$H$55)-LOOKUP(ROUNDDOWN(I$27/5, 0)*5,'2025ER'!$D$40:$D$55,'2025ER'!$H$40:$H$55))</f>
        <v>3.9147475288582841E-3</v>
      </c>
      <c r="I49" s="129">
        <f t="shared" si="9"/>
        <v>4.4391043507487626E-3</v>
      </c>
      <c r="J49" s="102"/>
      <c r="K49" s="320"/>
    </row>
    <row r="50" spans="1:11" x14ac:dyDescent="0.25">
      <c r="A50" s="320"/>
      <c r="B50" s="171"/>
      <c r="C50" s="193" t="s">
        <v>224</v>
      </c>
      <c r="D50" s="129">
        <f>LOOKUP(ROUNDDOWN(F$27/5, 0)*5,'2015ER'!$D$57:$D$72,'2015ER'!$H$57:$H$72)+((F$27-ROUNDDOWN(F$27/5, 0)*5)/5)*(LOOKUP(ROUNDUP(F$27/5, 0)*5,'2015ER'!$D$57:$D$72,'2015ER'!$H$57:$H$72)-LOOKUP(ROUNDDOWN(F$27/5, 0)*5,'2015ER'!$D$57:$D$72,'2015ER'!$H$57:$H$72))</f>
        <v>0.49824367617711851</v>
      </c>
      <c r="E50" s="129">
        <f>LOOKUP(ROUNDDOWN(F$27/5, 0)*5,'2025ER'!$D$57:$D$72,'2025ER'!$H$57:$H$72)+((F$27-ROUNDDOWN(F$27/5, 0)*5)/5)*(LOOKUP(ROUNDUP(F$27/5, 0)*5,'2025ER'!$D$57:$D$72,'2025ER'!$H$57:$H$72)-LOOKUP(ROUNDDOWN(F$27/5, 0)*5,'2025ER'!$D$57:$D$72,'2025ER'!$H$57:$H$72))</f>
        <v>0.11158461926662384</v>
      </c>
      <c r="F50" s="129">
        <f t="shared" si="8"/>
        <v>0.30491414772187397</v>
      </c>
      <c r="G50" s="129">
        <f>LOOKUP(ROUNDDOWN(I$27/5, 0)*5,'2015ER'!$D$57:$D$72,'2015ER'!$H$57:$H$72)+((I$27-ROUNDDOWN(I$27/5, 0)*5)/5)*(LOOKUP(ROUNDUP(I$27/5, 0)*5,'2015ER'!$D$57:$D$72,'2015ER'!$H$57:$H$72)-LOOKUP(ROUNDDOWN(I$27/5, 0)*5,'2015ER'!$D$57:$D$72,'2015ER'!$H$57:$H$72))</f>
        <v>0.49824367617711851</v>
      </c>
      <c r="H50" s="129">
        <f>LOOKUP(ROUNDDOWN(I$27/5, 0)*5,'2025ER'!$D$57:$D$72,'2025ER'!$H$57:$H$72)+((I$27-ROUNDDOWN(I$27/5, 0)*5)/5)*(LOOKUP(ROUNDUP(I$27/5, 0)*5,'2025ER'!$D$57:$D$72,'2025ER'!$H$57:$H$72)-LOOKUP(ROUNDDOWN(I$27/5, 0)*5,'2025ER'!$D$57:$D$72,'2025ER'!$H$57:$H$72))</f>
        <v>0.11158461926662384</v>
      </c>
      <c r="I50" s="129">
        <f t="shared" si="9"/>
        <v>0.30491414772187397</v>
      </c>
      <c r="J50" s="102"/>
      <c r="K50" s="320"/>
    </row>
    <row r="51" spans="1:11" x14ac:dyDescent="0.25">
      <c r="A51" s="320"/>
      <c r="B51" s="171"/>
      <c r="C51" s="193" t="s">
        <v>222</v>
      </c>
      <c r="D51" s="129">
        <f>LOOKUP(ROUNDDOWN(F$27/5, 0)*5,'2015ER'!$D$74:$D$89,'2015ER'!$H$74:$H$89)+((F$27-ROUNDDOWN(F$27/5, 0)*5)/5)*(LOOKUP(ROUNDUP(F$27/5, 0)*5,'2015ER'!$D$74:$D$89,'2015ER'!$H$74:$H$89)-LOOKUP(ROUNDDOWN(F$27/5, 0)*5,'2015ER'!$D$74:$D$89,'2015ER'!$H$74:$H$89))</f>
        <v>0.20248932013034207</v>
      </c>
      <c r="E51" s="129">
        <f>LOOKUP(ROUNDDOWN(F$27/5, 0)*5,'2025ER'!$D$74:$D$89,'2025ER'!$H$74:$H$89)+((F$27-ROUNDDOWN(F$27/5, 0)*5)/5)*(LOOKUP(ROUNDUP(F$27/5, 0)*5,'2025ER'!$D$74:$D$89,'2025ER'!$H$74:$H$89)-LOOKUP(ROUNDDOWN(F$27/5, 0)*5,'2025ER'!$D$74:$D$89,'2025ER'!$H$74:$H$89))</f>
        <v>6.7227742465834031E-2</v>
      </c>
      <c r="F51" s="129">
        <f t="shared" si="8"/>
        <v>0.13485853129808945</v>
      </c>
      <c r="G51" s="129">
        <f>LOOKUP(ROUNDDOWN(I$27/5, 0)*5,'2015ER'!$D$74:$D$89,'2015ER'!$H$74:$H$89)+((I$27-ROUNDDOWN(I$27/5, 0)*5)/5)*(LOOKUP(ROUNDUP(I$27/5, 0)*5,'2015ER'!$D$74:$D$89,'2015ER'!$H$74:$H$89)-LOOKUP(ROUNDDOWN(I$27/5, 0)*5,'2015ER'!$D$74:$D$89,'2015ER'!$H$74:$H$89))</f>
        <v>0.20248932013034207</v>
      </c>
      <c r="H51" s="129">
        <f>LOOKUP(ROUNDDOWN(I$27/5, 0)*5,'2025ER'!$D$74:$D$89,'2025ER'!$H$74:$H$89)+((I$27-ROUNDDOWN(I$27/5, 0)*5)/5)*(LOOKUP(ROUNDUP(I$27/5, 0)*5,'2025ER'!$D$74:$D$89,'2025ER'!$H$74:$H$89)-LOOKUP(ROUNDDOWN(I$27/5, 0)*5,'2025ER'!$D$74:$D$89,'2025ER'!$H$74:$H$89))</f>
        <v>6.7227742465834031E-2</v>
      </c>
      <c r="I51" s="129">
        <f t="shared" si="9"/>
        <v>0.13485853129808945</v>
      </c>
      <c r="J51" s="102"/>
      <c r="K51" s="320"/>
    </row>
    <row r="52" spans="1:11" x14ac:dyDescent="0.25">
      <c r="A52" s="368"/>
      <c r="B52" s="724"/>
      <c r="C52" s="193" t="s">
        <v>584</v>
      </c>
      <c r="D52" s="129">
        <f>LOOKUP(ROUNDDOWN(F$27/5, 0)*5,'2015ER'!$D$91:$D$106,'2015ER'!$H$91:$H$106)+((F$27-ROUNDDOWN(F$27/5, 0)*5)/5)*(LOOKUP(ROUNDUP(F$27/5, 0)*5,'2015ER'!$D$91:$D$106,'2015ER'!$H$91:$H$106)-LOOKUP(ROUNDDOWN(F$27/5, 0)*5,'2015ER'!$D$91:$D$106,'2015ER'!$H$91:$H$106))</f>
        <v>8.1752583516538618E-3</v>
      </c>
      <c r="E52" s="129">
        <f>LOOKUP(ROUNDDOWN(F$27/5, 0)*5,'2025ER'!$D$91:$D$106,'2025ER'!$H$91:$H$106)+((F$27-ROUNDDOWN(F$27/5, 0)*5)/5)*(LOOKUP(ROUNDUP(F$27/5, 0)*5,'2025ER'!$D$91:$D$106,'2025ER'!$H$91:$H$106)-LOOKUP(ROUNDDOWN(F$27/5, 0)*5,'2025ER'!$D$91:$D$106,'2025ER'!$H$91:$H$106))</f>
        <v>2.12684033393156E-3</v>
      </c>
      <c r="F52" s="129">
        <f>TREND(D52:E52, D$6:E$6, F$6)</f>
        <v>5.1510493427926463E-3</v>
      </c>
      <c r="G52" s="129">
        <f>LOOKUP(ROUNDDOWN(I$27/5, 0)*5,'2015ER'!$D$91:$D$106,'2015ER'!$H$91:$H$106)+((I$27-ROUNDDOWN(I$27/5, 0)*5)/5)*(LOOKUP(ROUNDUP(I$27/5, 0)*5,'2015ER'!$D$91:$D$106,'2015ER'!$H$91:$H$106)-LOOKUP(ROUNDDOWN(I$27/5, 0)*5,'2015ER'!$D$91:$D$106,'2015ER'!$H$91:$H$106))</f>
        <v>8.1752583516538618E-3</v>
      </c>
      <c r="H52" s="129">
        <f>LOOKUP(ROUNDDOWN(I$27/5, 0)*5,'2025ER'!$D$91:$D$106,'2025ER'!$H$91:$H$106)+((I$27-ROUNDDOWN(I$27/5, 0)*5)/5)*(LOOKUP(ROUNDUP(I$27/5, 0)*5,'2025ER'!$D$91:$D$106,'2025ER'!$H$91:$H$106)-LOOKUP(ROUNDDOWN(I$27/5, 0)*5,'2025ER'!$D$91:$D$106,'2025ER'!$H$91:$H$106))</f>
        <v>2.12684033393156E-3</v>
      </c>
      <c r="I52" s="129">
        <f>TREND(G52:H52, G$6:H$6, I$6)</f>
        <v>5.1510493427926463E-3</v>
      </c>
      <c r="J52" s="102"/>
      <c r="K52" s="368"/>
    </row>
    <row r="53" spans="1:11" x14ac:dyDescent="0.25">
      <c r="A53" s="368"/>
      <c r="B53" s="724"/>
      <c r="C53" s="193" t="s">
        <v>585</v>
      </c>
      <c r="D53" s="129">
        <f>LOOKUP(ROUNDDOWN(F$27/5, 0)*5,'2015ER'!$D$108:$D$123,'2015ER'!$H$108:$H$123)+((F$27-ROUNDDOWN(F$27/5, 0)*5)/5)*(LOOKUP(ROUNDUP(F$27/5, 0)*5,'2015ER'!$D$108:$D$123,'2015ER'!$H$108:$H$123)-LOOKUP(ROUNDDOWN(F$27/5, 0)*5,'2015ER'!$D$108:$D$123,'2015ER'!$H$108:$H$123))</f>
        <v>3.3440299686647812</v>
      </c>
      <c r="E53" s="129">
        <f>LOOKUP(ROUNDDOWN(F$27/5, 0)*5,'2025ER'!$D$108:$D$123,'2025ER'!$H$108:$H$123)+((F$27-ROUNDDOWN(F$27/5, 0)*5)/5)*(LOOKUP(ROUNDUP(F$27/5, 0)*5,'2025ER'!$D$108:$D$123,'2025ER'!$H$108:$H$123)-LOOKUP(ROUNDDOWN(F$27/5, 0)*5,'2025ER'!$D$108:$D$123,'2025ER'!$H$108:$H$123))</f>
        <v>1.840022528445473</v>
      </c>
      <c r="F53" s="129">
        <f>TREND(D53:E53, D$6:E$6, F$6)</f>
        <v>2.5920262485551007</v>
      </c>
      <c r="G53" s="129">
        <f>LOOKUP(ROUNDDOWN(I$27/5, 0)*5,'2015ER'!$D$108:$D$123,'2015ER'!$H$108:$H$123)+((I$27-ROUNDDOWN(I$27/5, 0)*5)/5)*(LOOKUP(ROUNDUP(I$27/5, 0)*5,'2015ER'!$D$108:$D$123,'2015ER'!$H$108:$H$123)-LOOKUP(ROUNDDOWN(I$27/5, 0)*5,'2015ER'!$D$108:$D$123,'2015ER'!$H$108:$H$123))</f>
        <v>3.3440299686647812</v>
      </c>
      <c r="H53" s="129">
        <f>LOOKUP(ROUNDDOWN(I$27/5, 0)*5,'2025ER'!$D$108:$D$123,'2025ER'!$H$108:$H$123)+((I$27-ROUNDDOWN(I$27/5, 0)*5)/5)*(LOOKUP(ROUNDUP(I$27/5, 0)*5,'2025ER'!$D$108:$D$123,'2025ER'!$H$108:$H$123)-LOOKUP(ROUNDDOWN(I$27/5, 0)*5,'2025ER'!$D$108:$D$123,'2025ER'!$H$108:$H$123))</f>
        <v>1.840022528445473</v>
      </c>
      <c r="I53" s="129">
        <f>TREND(G53:H53, G$6:H$6, I$6)</f>
        <v>2.5920262485551007</v>
      </c>
      <c r="J53" s="102"/>
      <c r="K53" s="368"/>
    </row>
    <row r="54" spans="1:11" x14ac:dyDescent="0.25">
      <c r="A54" s="320"/>
      <c r="B54" s="171"/>
      <c r="C54" s="193" t="s">
        <v>629</v>
      </c>
      <c r="D54" s="129">
        <f>LOOKUP(ROUNDDOWN(F$27/5, 0)*5,'2015ER'!$D$6:$D$21,'2015ER'!$W$6:$W$21)+((F$27-ROUNDDOWN(F$27/5, 0)*5)/5)*(LOOKUP(ROUNDUP(F$27/5, 0)*5,'2015ER'!$D$6:$D$21,'2015ER'!$W$6:$W$21)-LOOKUP(ROUNDDOWN(F$27/5, 0)*5,'2015ER'!$D$6:$D$21,'2015ER'!$W$6:$W$21))</f>
        <v>1886.3488658825515</v>
      </c>
      <c r="E54" s="129">
        <f>LOOKUP(ROUNDDOWN(F$27/5, 0)*5,'2025ER'!$D$6:$D$21,'2025ER'!$W$6:$W$21)+((F$27-ROUNDDOWN(F$27/5, 0)*5)/5)*(LOOKUP(ROUNDUP(F$27/5, 0)*5,'2025ER'!$D$6:$D$21,'2025ER'!$W$6:$W$21)-LOOKUP(ROUNDDOWN(F$27/5, 0)*5,'2025ER'!$D$6:$D$21,'2025ER'!$W$6:$W$21))</f>
        <v>1765.7971668973162</v>
      </c>
      <c r="F54" s="129">
        <f t="shared" si="8"/>
        <v>1826.0730163899352</v>
      </c>
      <c r="G54" s="129">
        <f>LOOKUP(ROUNDDOWN(I$27/5, 0)*5,'2015ER'!$D$6:$D$21,'2015ER'!$W$6:$W$21)+((I$27-ROUNDDOWN(I$27/5, 0)*5)/5)*(LOOKUP(ROUNDUP(I$27/5, 0)*5,'2015ER'!$D$6:$D$21,'2015ER'!$W$6:$W$21)-LOOKUP(ROUNDDOWN(I$27/5, 0)*5,'2015ER'!$D$6:$D$21,'2015ER'!$W$6:$W$21))</f>
        <v>1886.3488658825515</v>
      </c>
      <c r="H54" s="129">
        <f>LOOKUP(ROUNDDOWN(I$27/5, 0)*5,'2025ER'!$D$6:$D$21,'2025ER'!$W$6:$W$21)+((I$27-ROUNDDOWN(I$27/5, 0)*5)/5)*(LOOKUP(ROUNDUP(I$27/5, 0)*5,'2025ER'!$D$6:$D$21,'2025ER'!$W$6:$W$21)-LOOKUP(ROUNDDOWN(I$27/5, 0)*5,'2025ER'!$D$6:$D$21,'2025ER'!$W$6:$W$21))</f>
        <v>1765.7971668973162</v>
      </c>
      <c r="I54" s="129">
        <f t="shared" si="9"/>
        <v>1826.0730163899352</v>
      </c>
      <c r="J54" s="102"/>
      <c r="K54" s="320"/>
    </row>
    <row r="55" spans="1:11" x14ac:dyDescent="0.25">
      <c r="A55" s="320"/>
      <c r="B55" s="171"/>
      <c r="C55" s="193" t="s">
        <v>212</v>
      </c>
      <c r="D55" s="129">
        <f>LOOKUP(ROUNDDOWN(F$27/5, 0)*5,'2015ER'!$D$23:$D$38,'2015ER'!$W$23:$W$38)+((F$27-ROUNDDOWN(F$27/5, 0)*5)/5)*(LOOKUP(ROUNDUP(F$27/5, 0)*5,'2015ER'!$D$23:$D$38,'2015ER'!$W$23:$W$38)-LOOKUP(ROUNDDOWN(F$27/5, 0)*5,'2015ER'!$D$23:$D$38,'2015ER'!$W$23:$W$38))</f>
        <v>7.5703809679495739</v>
      </c>
      <c r="E55" s="129">
        <f>LOOKUP(ROUNDDOWN(F$27/5, 0)*5,'2025ER'!$D$23:$D$38,'2025ER'!$W$23:$W$38)+((F$27-ROUNDDOWN(F$27/5, 0)*5)/5)*(LOOKUP(ROUNDUP(F$27/5, 0)*5,'2025ER'!$D$23:$D$38,'2025ER'!$W$23:$W$38)-LOOKUP(ROUNDDOWN(F$27/5, 0)*5,'2025ER'!$D$23:$D$38,'2025ER'!$W$23:$W$38))</f>
        <v>2.428185044067463</v>
      </c>
      <c r="F55" s="129">
        <f t="shared" si="8"/>
        <v>4.9992830060084543</v>
      </c>
      <c r="G55" s="129">
        <f>LOOKUP(ROUNDDOWN(I$27/5, 0)*5,'2015ER'!$D$23:$D$38,'2015ER'!$W$23:$W$38)+((I$27-ROUNDDOWN(I$27/5, 0)*5)/5)*(LOOKUP(ROUNDUP(I$27/5, 0)*5,'2015ER'!$D$23:$D$38,'2015ER'!$W$23:$W$38)-LOOKUP(ROUNDDOWN(I$27/5, 0)*5,'2015ER'!$D$23:$D$38,'2015ER'!$W$23:$W$38))</f>
        <v>7.5703809679495739</v>
      </c>
      <c r="H55" s="129">
        <f>LOOKUP(ROUNDDOWN(I$27/5, 0)*5,'2025ER'!$D$23:$D$38,'2025ER'!$W$23:$W$38)+((I$27-ROUNDDOWN(I$27/5, 0)*5)/5)*(LOOKUP(ROUNDUP(I$27/5, 0)*5,'2025ER'!$D$23:$D$38,'2025ER'!$W$23:$W$38)-LOOKUP(ROUNDDOWN(I$27/5, 0)*5,'2025ER'!$D$23:$D$38,'2025ER'!$W$23:$W$38))</f>
        <v>2.428185044067463</v>
      </c>
      <c r="I55" s="129">
        <f t="shared" si="9"/>
        <v>4.9992830060084543</v>
      </c>
      <c r="J55" s="102"/>
      <c r="K55" s="320"/>
    </row>
    <row r="56" spans="1:11" x14ac:dyDescent="0.25">
      <c r="A56" s="320"/>
      <c r="B56" s="171"/>
      <c r="C56" s="193" t="s">
        <v>211</v>
      </c>
      <c r="D56" s="129">
        <f>LOOKUP(ROUNDDOWN(F$27/5, 0)*5,'2015ER'!$D$40:$D$55,'2015ER'!$W$40:$W$55)+((F$27-ROUNDDOWN(F$27/5, 0)*5)/5)*(LOOKUP(ROUNDUP(F$27/5, 0)*5,'2015ER'!$D$40:$D$55,'2015ER'!$W$40:$W$55)-LOOKUP(ROUNDDOWN(F$27/5, 0)*5,'2015ER'!$D$40:$D$55,'2015ER'!$W$40:$W$55))</f>
        <v>0.13030103432714826</v>
      </c>
      <c r="E56" s="129">
        <f>LOOKUP(ROUNDDOWN(F$27/5, 0)*5,'2025ER'!$D$40:$D$55,'2025ER'!$W$40:$W$55)+((F$27-ROUNDDOWN(F$27/5, 0)*5)/5)*(LOOKUP(ROUNDUP(F$27/5, 0)*5,'2025ER'!$D$40:$D$55,'2025ER'!$W$40:$W$55)-LOOKUP(ROUNDDOWN(F$27/5, 0)*5,'2025ER'!$D$40:$D$55,'2025ER'!$W$40:$W$55))</f>
        <v>3.9369627226953044E-2</v>
      </c>
      <c r="F56" s="129">
        <f t="shared" si="8"/>
        <v>8.4835330777050189E-2</v>
      </c>
      <c r="G56" s="129">
        <f>LOOKUP(ROUNDDOWN(I$27/5, 0)*5,'2015ER'!$D$40:$D$55,'2015ER'!$W$40:$W$55)+((I$27-ROUNDDOWN(I$27/5, 0)*5)/5)*(LOOKUP(ROUNDUP(I$27/5, 0)*5,'2015ER'!$D$40:$D$55,'2015ER'!$W$40:$W$55)-LOOKUP(ROUNDDOWN(I$27/5, 0)*5,'2015ER'!$D$40:$D$55,'2015ER'!$W$40:$W$55))</f>
        <v>0.13030103432714826</v>
      </c>
      <c r="H56" s="129">
        <f>LOOKUP(ROUNDDOWN(I$27/5, 0)*5,'2025ER'!$D$40:$D$55,'2025ER'!$W$40:$W$55)+((I$27-ROUNDDOWN(I$27/5, 0)*5)/5)*(LOOKUP(ROUNDUP(I$27/5, 0)*5,'2025ER'!$D$40:$D$55,'2025ER'!$W$40:$W$55)-LOOKUP(ROUNDDOWN(I$27/5, 0)*5,'2025ER'!$D$40:$D$55,'2025ER'!$W$40:$W$55))</f>
        <v>3.9369627226953044E-2</v>
      </c>
      <c r="I56" s="129">
        <f t="shared" si="9"/>
        <v>8.4835330777050189E-2</v>
      </c>
      <c r="J56" s="102"/>
      <c r="K56" s="320"/>
    </row>
    <row r="57" spans="1:11" x14ac:dyDescent="0.25">
      <c r="A57" s="320"/>
      <c r="B57" s="171"/>
      <c r="C57" s="193" t="s">
        <v>225</v>
      </c>
      <c r="D57" s="129">
        <f>LOOKUP(ROUNDDOWN(F$27/5, 0)*5,'2015ER'!$D$57:$D$72,'2015ER'!$W$57:$W$72)+((F$27-ROUNDDOWN(F$27/5, 0)*5)/5)*(LOOKUP(ROUNDUP(F$27/5, 0)*5,'2015ER'!$D$57:$D$72,'2015ER'!$W$57:$W$72)-LOOKUP(ROUNDDOWN(F$27/5, 0)*5,'2015ER'!$D$57:$D$72,'2015ER'!$W$57:$W$72))</f>
        <v>7.269766932611887</v>
      </c>
      <c r="E57" s="129">
        <f>LOOKUP(ROUNDDOWN(F$27/5, 0)*5,'2025ER'!$D$57:$D$72,'2025ER'!$W$57:$W$72)+((F$27-ROUNDDOWN(F$27/5, 0)*5)/5)*(LOOKUP(ROUNDUP(F$27/5, 0)*5,'2025ER'!$D$57:$D$72,'2025ER'!$W$57:$W$72)-LOOKUP(ROUNDDOWN(F$27/5, 0)*5,'2025ER'!$D$57:$D$72,'2025ER'!$W$57:$W$72))</f>
        <v>2.3319990764485206</v>
      </c>
      <c r="F57" s="129">
        <f t="shared" si="8"/>
        <v>4.800883004530192</v>
      </c>
      <c r="G57" s="129">
        <f>LOOKUP(ROUNDDOWN(I$27/5, 0)*5,'2015ER'!$D$57:$D$72,'2015ER'!$W$57:$W$72)+((I$27-ROUNDDOWN(I$27/5, 0)*5)/5)*(LOOKUP(ROUNDUP(I$27/5, 0)*5,'2015ER'!$D$57:$D$72,'2015ER'!$W$57:$W$72)-LOOKUP(ROUNDDOWN(I$27/5, 0)*5,'2015ER'!$D$57:$D$72,'2015ER'!$W$57:$W$72))</f>
        <v>7.269766932611887</v>
      </c>
      <c r="H57" s="129">
        <f>LOOKUP(ROUNDDOWN(I$27/5, 0)*5,'2025ER'!$D$57:$D$72,'2025ER'!$W$57:$W$72)+((I$27-ROUNDDOWN(I$27/5, 0)*5)/5)*(LOOKUP(ROUNDUP(I$27/5, 0)*5,'2025ER'!$D$57:$D$72,'2025ER'!$W$57:$W$72)-LOOKUP(ROUNDDOWN(I$27/5, 0)*5,'2025ER'!$D$57:$D$72,'2025ER'!$W$57:$W$72))</f>
        <v>2.3319990764485206</v>
      </c>
      <c r="I57" s="129">
        <f t="shared" si="9"/>
        <v>4.800883004530192</v>
      </c>
      <c r="J57" s="102"/>
      <c r="K57" s="320"/>
    </row>
    <row r="58" spans="1:11" x14ac:dyDescent="0.25">
      <c r="A58" s="320"/>
      <c r="B58" s="171"/>
      <c r="C58" s="193" t="s">
        <v>223</v>
      </c>
      <c r="D58" s="129">
        <f>LOOKUP(ROUNDDOWN(F$27/5, 0)*5,'2015ER'!$D$74:$D$89,'2015ER'!$W$74:$W$89)+((F$27-ROUNDDOWN(F$27/5, 0)*5)/5)*(LOOKUP(ROUNDUP(F$27/5, 0)*5,'2015ER'!$D$74:$D$89,'2015ER'!$W$74:$W$89)-LOOKUP(ROUNDDOWN(F$27/5, 0)*5,'2015ER'!$D$74:$D$89,'2015ER'!$W$74:$W$89))</f>
        <v>0.67878383262908182</v>
      </c>
      <c r="E58" s="129">
        <f>LOOKUP(ROUNDDOWN(F$27/5, 0)*5,'2025ER'!$D$74:$D$89,'2025ER'!$W$74:$W$89)+((F$27-ROUNDDOWN(F$27/5, 0)*5)/5)*(LOOKUP(ROUNDUP(F$27/5, 0)*5,'2025ER'!$D$74:$D$89,'2025ER'!$W$74:$W$89)-LOOKUP(ROUNDDOWN(F$27/5, 0)*5,'2025ER'!$D$74:$D$89,'2025ER'!$W$74:$W$89))</f>
        <v>0.36194373607417185</v>
      </c>
      <c r="F58" s="129">
        <f t="shared" si="8"/>
        <v>0.52036378435163044</v>
      </c>
      <c r="G58" s="129">
        <f>LOOKUP(ROUNDDOWN(I$27/5, 0)*5,'2015ER'!$D$74:$D$89,'2015ER'!$W$74:$W$89)+((I$27-ROUNDDOWN(I$27/5, 0)*5)/5)*(LOOKUP(ROUNDUP(I$27/5, 0)*5,'2015ER'!$D$74:$D$89,'2015ER'!$W$74:$W$89)-LOOKUP(ROUNDDOWN(I$27/5, 0)*5,'2015ER'!$D$74:$D$89,'2015ER'!$W$74:$W$89))</f>
        <v>0.67878383262908182</v>
      </c>
      <c r="H58" s="129">
        <f>LOOKUP(ROUNDDOWN(I$27/5, 0)*5,'2025ER'!$D$74:$D$89,'2025ER'!$W$74:$W$89)+((I$27-ROUNDDOWN(I$27/5, 0)*5)/5)*(LOOKUP(ROUNDUP(I$27/5, 0)*5,'2025ER'!$D$74:$D$89,'2025ER'!$W$74:$W$89)-LOOKUP(ROUNDDOWN(I$27/5, 0)*5,'2025ER'!$D$74:$D$89,'2025ER'!$W$74:$W$89))</f>
        <v>0.36194373607417185</v>
      </c>
      <c r="I58" s="129">
        <f t="shared" si="9"/>
        <v>0.52036378435163044</v>
      </c>
      <c r="J58" s="102"/>
      <c r="K58" s="320"/>
    </row>
    <row r="59" spans="1:11" x14ac:dyDescent="0.25">
      <c r="A59" s="368"/>
      <c r="B59" s="724"/>
      <c r="C59" s="193" t="s">
        <v>588</v>
      </c>
      <c r="D59" s="129">
        <f>LOOKUP(ROUNDDOWN(F$27/5, 0)*5,'2015ER'!$D$91:$D$106,'2015ER'!$W$91:$W$106)+((F$27-ROUNDDOWN(F$27/5, 0)*5)/5)*(LOOKUP(ROUNDUP(F$27/5, 0)*5,'2015ER'!$D$91:$D$106,'2015ER'!$W$91:$W$106)-LOOKUP(ROUNDDOWN(F$27/5, 0)*5,'2015ER'!$D$91:$D$106,'2015ER'!$W$91:$W$106))</f>
        <v>1.6868412784263147E-2</v>
      </c>
      <c r="E59" s="129">
        <f>LOOKUP(ROUNDDOWN(F$27/5, 0)*5,'2025ER'!$D$91:$D$106,'2025ER'!$W$91:$W$106)+((F$27-ROUNDDOWN(F$27/5, 0)*5)/5)*(LOOKUP(ROUNDUP(F$27/5, 0)*5,'2025ER'!$D$91:$D$106,'2025ER'!$W$91:$W$106)-LOOKUP(ROUNDDOWN(F$27/5, 0)*5,'2025ER'!$D$91:$D$106,'2025ER'!$W$91:$W$106))</f>
        <v>1.517018289774049E-2</v>
      </c>
      <c r="F59" s="129">
        <f t="shared" si="8"/>
        <v>1.6019297841001812E-2</v>
      </c>
      <c r="G59" s="129">
        <f>LOOKUP(ROUNDDOWN(I$27/5, 0)*5,'2015ER'!$D$91:$D$106,'2015ER'!$W$91:$W$106)+((I$27-ROUNDDOWN(I$27/5, 0)*5)/5)*(LOOKUP(ROUNDUP(I$27/5, 0)*5,'2015ER'!$D$91:$D$106,'2015ER'!$W$91:$W$106)-LOOKUP(ROUNDDOWN(I$27/5, 0)*5,'2015ER'!$D$91:$D$106,'2015ER'!$W$91:$W$106))</f>
        <v>1.6868412784263147E-2</v>
      </c>
      <c r="H59" s="129">
        <f>LOOKUP(ROUNDDOWN(I$27/5, 0)*5,'2025ER'!$D$91:$D$106,'2025ER'!$W$91:$W$106)+((I$27-ROUNDDOWN(I$27/5, 0)*5)/5)*(LOOKUP(ROUNDUP(I$27/5, 0)*5,'2025ER'!$D$91:$D$106,'2025ER'!$W$91:$W$106)-LOOKUP(ROUNDDOWN(I$27/5, 0)*5,'2025ER'!$D$91:$D$106,'2025ER'!$W$91:$W$106))</f>
        <v>1.517018289774049E-2</v>
      </c>
      <c r="I59" s="129">
        <f t="shared" si="9"/>
        <v>1.6019297841001812E-2</v>
      </c>
      <c r="J59" s="102"/>
      <c r="K59" s="368"/>
    </row>
    <row r="60" spans="1:11" x14ac:dyDescent="0.25">
      <c r="A60" s="368"/>
      <c r="B60" s="724"/>
      <c r="C60" s="193" t="s">
        <v>589</v>
      </c>
      <c r="D60" s="129">
        <f>LOOKUP(ROUNDDOWN(F$27/5, 0)*5,'2015ER'!$D$108:$D$123,'2015ER'!$W$108:$W$123)+((F$27-ROUNDDOWN(F$27/5, 0)*5)/5)*(LOOKUP(ROUNDUP(F$27/5, 0)*5,'2015ER'!$D$108:$D$123,'2015ER'!$W$108:$W$123)-LOOKUP(ROUNDDOWN(F$27/5, 0)*5,'2015ER'!$D$108:$D$123,'2015ER'!$W$108:$W$123))</f>
        <v>2.3439650171045328</v>
      </c>
      <c r="E60" s="129">
        <f>LOOKUP(ROUNDDOWN(F$27/5, 0)*5,'2025ER'!$D$108:$D$123,'2025ER'!$W$108:$W$123)+((F$27-ROUNDDOWN(F$27/5, 0)*5)/5)*(LOOKUP(ROUNDUP(F$27/5, 0)*5,'2025ER'!$D$108:$D$123,'2025ER'!$W$108:$W$123)-LOOKUP(ROUNDDOWN(F$27/5, 0)*5,'2025ER'!$D$108:$D$123,'2025ER'!$W$108:$W$123))</f>
        <v>0.75482544699547049</v>
      </c>
      <c r="F60" s="129">
        <f t="shared" si="8"/>
        <v>1.5493952320500171</v>
      </c>
      <c r="G60" s="129">
        <f>LOOKUP(ROUNDDOWN(I$27/5, 0)*5,'2015ER'!$D$108:$D$123,'2015ER'!$W$108:$W$123)+((I$27-ROUNDDOWN(I$27/5, 0)*5)/5)*(LOOKUP(ROUNDUP(I$27/5, 0)*5,'2015ER'!$D$108:$D$123,'2015ER'!$W$108:$W$123)-LOOKUP(ROUNDDOWN(I$27/5, 0)*5,'2015ER'!$D$108:$D$123,'2015ER'!$W$108:$W$123))</f>
        <v>2.3439650171045328</v>
      </c>
      <c r="H60" s="129">
        <f>LOOKUP(ROUNDDOWN(I$27/5, 0)*5,'2025ER'!$D$108:$D$123,'2025ER'!$W$108:$W$123)+((I$27-ROUNDDOWN(I$27/5, 0)*5)/5)*(LOOKUP(ROUNDUP(I$27/5, 0)*5,'2025ER'!$D$108:$D$123,'2025ER'!$W$108:$W$123)-LOOKUP(ROUNDDOWN(I$27/5, 0)*5,'2025ER'!$D$108:$D$123,'2025ER'!$W$108:$W$123))</f>
        <v>0.75482544699547049</v>
      </c>
      <c r="I60" s="129">
        <f t="shared" si="9"/>
        <v>1.5493952320500171</v>
      </c>
      <c r="J60" s="102"/>
      <c r="K60" s="368"/>
    </row>
    <row r="61" spans="1:11" x14ac:dyDescent="0.25">
      <c r="A61" s="320"/>
      <c r="B61" s="171"/>
      <c r="C61" s="312" t="s">
        <v>413</v>
      </c>
      <c r="D61" s="200"/>
      <c r="E61" s="200"/>
      <c r="F61" s="200"/>
      <c r="G61" s="200"/>
      <c r="H61" s="200"/>
      <c r="I61" s="200"/>
      <c r="J61" s="102"/>
      <c r="K61" s="320"/>
    </row>
    <row r="62" spans="1:11" x14ac:dyDescent="0.25">
      <c r="A62" s="320"/>
      <c r="B62" s="171"/>
      <c r="C62" s="193" t="s">
        <v>630</v>
      </c>
      <c r="D62" s="75"/>
      <c r="E62" s="75"/>
      <c r="F62" s="75">
        <f t="shared" ref="F62:F68" si="10">F$24*F32*F$17*F$18</f>
        <v>1463376233.2409093</v>
      </c>
      <c r="G62" s="75"/>
      <c r="H62" s="75"/>
      <c r="I62" s="75">
        <f t="shared" ref="I62:I68" si="11">I$24*I32*I$17*I$18</f>
        <v>1463376233.2409093</v>
      </c>
      <c r="J62" s="102"/>
      <c r="K62" s="320"/>
    </row>
    <row r="63" spans="1:11" x14ac:dyDescent="0.25">
      <c r="A63" s="320"/>
      <c r="B63" s="171"/>
      <c r="C63" s="193" t="s">
        <v>228</v>
      </c>
      <c r="D63" s="75"/>
      <c r="E63" s="75"/>
      <c r="F63" s="75">
        <f t="shared" si="10"/>
        <v>1158836.3340043486</v>
      </c>
      <c r="G63" s="75"/>
      <c r="H63" s="75"/>
      <c r="I63" s="75">
        <f t="shared" si="11"/>
        <v>1158836.3340043486</v>
      </c>
      <c r="J63" s="102"/>
      <c r="K63" s="320"/>
    </row>
    <row r="64" spans="1:11" x14ac:dyDescent="0.25">
      <c r="A64" s="320"/>
      <c r="B64" s="171"/>
      <c r="C64" s="193" t="s">
        <v>229</v>
      </c>
      <c r="D64" s="75"/>
      <c r="E64" s="75"/>
      <c r="F64" s="75">
        <f t="shared" si="10"/>
        <v>18208.288716910538</v>
      </c>
      <c r="G64" s="75"/>
      <c r="H64" s="75"/>
      <c r="I64" s="75">
        <f t="shared" si="11"/>
        <v>18208.288716910538</v>
      </c>
      <c r="J64" s="102"/>
      <c r="K64" s="320"/>
    </row>
    <row r="65" spans="1:11" x14ac:dyDescent="0.25">
      <c r="A65" s="320"/>
      <c r="B65" s="171"/>
      <c r="C65" s="193" t="s">
        <v>230</v>
      </c>
      <c r="D65" s="75"/>
      <c r="E65" s="75"/>
      <c r="F65" s="75">
        <f t="shared" si="10"/>
        <v>1249651.1924113417</v>
      </c>
      <c r="G65" s="75"/>
      <c r="H65" s="75"/>
      <c r="I65" s="75">
        <f t="shared" si="11"/>
        <v>1249651.1924113417</v>
      </c>
      <c r="J65" s="102"/>
      <c r="K65" s="320"/>
    </row>
    <row r="66" spans="1:11" x14ac:dyDescent="0.25">
      <c r="A66" s="320"/>
      <c r="B66" s="171"/>
      <c r="C66" s="193" t="s">
        <v>231</v>
      </c>
      <c r="D66" s="75"/>
      <c r="E66" s="75"/>
      <c r="F66" s="75">
        <f t="shared" si="10"/>
        <v>547473.26985419798</v>
      </c>
      <c r="G66" s="75"/>
      <c r="H66" s="75"/>
      <c r="I66" s="75">
        <f t="shared" si="11"/>
        <v>547473.26985419798</v>
      </c>
      <c r="J66" s="102"/>
      <c r="K66" s="320"/>
    </row>
    <row r="67" spans="1:11" x14ac:dyDescent="0.25">
      <c r="A67" s="368"/>
      <c r="B67" s="724"/>
      <c r="C67" s="193" t="s">
        <v>631</v>
      </c>
      <c r="D67" s="75"/>
      <c r="E67" s="75"/>
      <c r="F67" s="75">
        <f t="shared" si="10"/>
        <v>20691.332126926205</v>
      </c>
      <c r="G67" s="75"/>
      <c r="H67" s="75"/>
      <c r="I67" s="75">
        <f t="shared" si="11"/>
        <v>20691.332126926205</v>
      </c>
      <c r="J67" s="102"/>
      <c r="K67" s="368"/>
    </row>
    <row r="68" spans="1:11" x14ac:dyDescent="0.25">
      <c r="A68" s="368"/>
      <c r="B68" s="724"/>
      <c r="C68" s="193" t="s">
        <v>632</v>
      </c>
      <c r="D68" s="75"/>
      <c r="E68" s="75"/>
      <c r="F68" s="75">
        <f t="shared" si="10"/>
        <v>10270619.738589998</v>
      </c>
      <c r="G68" s="75"/>
      <c r="H68" s="75"/>
      <c r="I68" s="75">
        <f t="shared" si="11"/>
        <v>10270619.738589998</v>
      </c>
      <c r="J68" s="102"/>
      <c r="K68" s="368"/>
    </row>
    <row r="69" spans="1:11" x14ac:dyDescent="0.25">
      <c r="A69" s="320"/>
      <c r="B69" s="171"/>
      <c r="C69" s="193" t="s">
        <v>633</v>
      </c>
      <c r="D69" s="75"/>
      <c r="E69" s="75"/>
      <c r="F69" s="75">
        <f>F$25*F39*F$17*F$18</f>
        <v>221122257.65611991</v>
      </c>
      <c r="G69" s="75"/>
      <c r="H69" s="75"/>
      <c r="I69" s="75">
        <f>I$25*I39*I$17*I$18</f>
        <v>221122257.65611991</v>
      </c>
      <c r="J69" s="102"/>
      <c r="K69" s="320"/>
    </row>
    <row r="70" spans="1:11" x14ac:dyDescent="0.25">
      <c r="A70" s="320"/>
      <c r="B70" s="171"/>
      <c r="C70" s="193" t="s">
        <v>634</v>
      </c>
      <c r="D70" s="75"/>
      <c r="E70" s="75"/>
      <c r="F70" s="75">
        <f>F$25*F40*F$17*F$18</f>
        <v>606954.96891200496</v>
      </c>
      <c r="G70" s="75"/>
      <c r="H70" s="75"/>
      <c r="I70" s="75">
        <f>I$25*I40*I$17*I$18</f>
        <v>606954.96891200496</v>
      </c>
      <c r="J70" s="102"/>
      <c r="K70" s="320"/>
    </row>
    <row r="71" spans="1:11" x14ac:dyDescent="0.25">
      <c r="A71" s="320"/>
      <c r="B71" s="171"/>
      <c r="C71" s="193" t="s">
        <v>635</v>
      </c>
      <c r="D71" s="75"/>
      <c r="E71" s="75"/>
      <c r="F71" s="75">
        <f>F$25*F41*F$17*F$18</f>
        <v>10347.308180003836</v>
      </c>
      <c r="G71" s="75"/>
      <c r="H71" s="75"/>
      <c r="I71" s="75">
        <f>I$25*I41*I$17*I$18</f>
        <v>10347.308180003836</v>
      </c>
      <c r="J71" s="102"/>
      <c r="K71" s="320"/>
    </row>
    <row r="72" spans="1:11" x14ac:dyDescent="0.25">
      <c r="A72" s="320"/>
      <c r="B72" s="171"/>
      <c r="C72" s="193" t="s">
        <v>636</v>
      </c>
      <c r="D72" s="75"/>
      <c r="E72" s="75"/>
      <c r="F72" s="75">
        <f>F$25*F42*F$17*F$18</f>
        <v>582903.80453266611</v>
      </c>
      <c r="G72" s="75"/>
      <c r="H72" s="75"/>
      <c r="I72" s="75">
        <f>I$25*I42*I$17*I$18</f>
        <v>582903.80453266611</v>
      </c>
      <c r="J72" s="102"/>
      <c r="K72" s="320"/>
    </row>
    <row r="73" spans="1:11" x14ac:dyDescent="0.25">
      <c r="A73" s="320"/>
      <c r="B73" s="171"/>
      <c r="C73" s="193" t="s">
        <v>637</v>
      </c>
      <c r="D73" s="75"/>
      <c r="E73" s="75"/>
      <c r="F73" s="75">
        <f>F$25*F43*F$17*F$18</f>
        <v>64927.940023304698</v>
      </c>
      <c r="G73" s="75"/>
      <c r="H73" s="75"/>
      <c r="I73" s="75">
        <f>I$25*I43*I$17*I$18</f>
        <v>64927.940023304698</v>
      </c>
      <c r="J73" s="102"/>
      <c r="K73" s="320"/>
    </row>
    <row r="74" spans="1:11" s="177" customFormat="1" x14ac:dyDescent="0.25">
      <c r="A74" s="368"/>
      <c r="B74" s="724"/>
      <c r="C74" s="193" t="s">
        <v>638</v>
      </c>
      <c r="D74" s="129"/>
      <c r="E74" s="129"/>
      <c r="F74" s="75">
        <f t="shared" ref="F74" si="12">F$25*F44*F$17*F$18</f>
        <v>1932.8421723706081</v>
      </c>
      <c r="G74" s="129"/>
      <c r="H74" s="129"/>
      <c r="I74" s="75">
        <f t="shared" ref="I74:I75" si="13">I$25*I44*I$17*I$18</f>
        <v>1932.8421723706081</v>
      </c>
      <c r="J74" s="102"/>
      <c r="K74" s="368"/>
    </row>
    <row r="75" spans="1:11" x14ac:dyDescent="0.25">
      <c r="A75" s="368"/>
      <c r="B75" s="724"/>
      <c r="C75" s="193" t="s">
        <v>639</v>
      </c>
      <c r="D75" s="129"/>
      <c r="E75" s="129"/>
      <c r="F75" s="75">
        <f>F$25*F45*F$17*F$18</f>
        <v>190999.69446003571</v>
      </c>
      <c r="G75" s="129"/>
      <c r="H75" s="129"/>
      <c r="I75" s="75">
        <f t="shared" si="13"/>
        <v>190999.69446003571</v>
      </c>
      <c r="J75" s="102"/>
      <c r="K75" s="368"/>
    </row>
    <row r="76" spans="1:11" x14ac:dyDescent="0.25">
      <c r="A76" s="320"/>
      <c r="B76" s="171"/>
      <c r="C76" s="312" t="s">
        <v>414</v>
      </c>
      <c r="D76" s="200"/>
      <c r="E76" s="200"/>
      <c r="F76" s="200"/>
      <c r="G76" s="200"/>
      <c r="H76" s="200"/>
      <c r="I76" s="200"/>
      <c r="J76" s="102"/>
      <c r="K76" s="320"/>
    </row>
    <row r="77" spans="1:11" s="248" customFormat="1" x14ac:dyDescent="0.25">
      <c r="A77" s="320"/>
      <c r="B77" s="171"/>
      <c r="C77" s="193" t="s">
        <v>630</v>
      </c>
      <c r="D77" s="75"/>
      <c r="E77" s="75"/>
      <c r="F77" s="75">
        <f t="shared" ref="F77:F83" si="14">F$24*F47*F$17*F$18</f>
        <v>1412774243.7345507</v>
      </c>
      <c r="G77" s="75"/>
      <c r="H77" s="75"/>
      <c r="I77" s="75">
        <f t="shared" ref="I77:I83" si="15">I$24*I47*I$17*I$18</f>
        <v>1412774243.7345507</v>
      </c>
      <c r="J77" s="102"/>
      <c r="K77" s="320"/>
    </row>
    <row r="78" spans="1:11" s="248" customFormat="1" x14ac:dyDescent="0.25">
      <c r="A78" s="320"/>
      <c r="B78" s="171"/>
      <c r="C78" s="193" t="s">
        <v>228</v>
      </c>
      <c r="D78" s="75"/>
      <c r="E78" s="75"/>
      <c r="F78" s="75">
        <f t="shared" si="14"/>
        <v>1121183.0916365967</v>
      </c>
      <c r="G78" s="75"/>
      <c r="H78" s="75"/>
      <c r="I78" s="75">
        <f t="shared" si="15"/>
        <v>1121183.0916365967</v>
      </c>
      <c r="J78" s="102"/>
      <c r="K78" s="320"/>
    </row>
    <row r="79" spans="1:11" s="248" customFormat="1" x14ac:dyDescent="0.25">
      <c r="A79" s="320"/>
      <c r="B79" s="171"/>
      <c r="C79" s="193" t="s">
        <v>229</v>
      </c>
      <c r="D79" s="75"/>
      <c r="E79" s="75"/>
      <c r="F79" s="75">
        <f t="shared" si="14"/>
        <v>17223.7248809052</v>
      </c>
      <c r="G79" s="75"/>
      <c r="H79" s="75"/>
      <c r="I79" s="75">
        <f t="shared" si="15"/>
        <v>17223.7248809052</v>
      </c>
      <c r="J79" s="102"/>
      <c r="K79" s="320"/>
    </row>
    <row r="80" spans="1:11" s="248" customFormat="1" x14ac:dyDescent="0.25">
      <c r="A80" s="320"/>
      <c r="B80" s="171"/>
      <c r="C80" s="193" t="s">
        <v>230</v>
      </c>
      <c r="D80" s="75"/>
      <c r="E80" s="75"/>
      <c r="F80" s="75">
        <f t="shared" si="14"/>
        <v>1183066.8931608712</v>
      </c>
      <c r="G80" s="75"/>
      <c r="H80" s="75"/>
      <c r="I80" s="75">
        <f t="shared" si="15"/>
        <v>1183066.8931608712</v>
      </c>
      <c r="J80" s="102"/>
      <c r="K80" s="320"/>
    </row>
    <row r="81" spans="1:14" x14ac:dyDescent="0.25">
      <c r="A81" s="320"/>
      <c r="B81" s="171"/>
      <c r="C81" s="193" t="s">
        <v>231</v>
      </c>
      <c r="D81" s="75"/>
      <c r="E81" s="75"/>
      <c r="F81" s="75">
        <f t="shared" si="14"/>
        <v>523251.10143658705</v>
      </c>
      <c r="G81" s="75"/>
      <c r="H81" s="75"/>
      <c r="I81" s="75">
        <f t="shared" si="15"/>
        <v>523251.10143658705</v>
      </c>
      <c r="J81" s="102"/>
      <c r="K81" s="320"/>
    </row>
    <row r="82" spans="1:14" x14ac:dyDescent="0.25">
      <c r="A82" s="368"/>
      <c r="B82" s="724"/>
      <c r="C82" s="193" t="s">
        <v>631</v>
      </c>
      <c r="D82" s="75"/>
      <c r="E82" s="75"/>
      <c r="F82" s="75">
        <f t="shared" si="14"/>
        <v>19986.071450035466</v>
      </c>
      <c r="G82" s="75"/>
      <c r="H82" s="75"/>
      <c r="I82" s="75">
        <f t="shared" si="15"/>
        <v>19986.071450035466</v>
      </c>
      <c r="J82" s="102"/>
      <c r="K82" s="368"/>
    </row>
    <row r="83" spans="1:14" x14ac:dyDescent="0.25">
      <c r="A83" s="368"/>
      <c r="B83" s="724"/>
      <c r="C83" s="193" t="s">
        <v>632</v>
      </c>
      <c r="D83" s="75"/>
      <c r="E83" s="75"/>
      <c r="F83" s="75">
        <f t="shared" si="14"/>
        <v>10057061.844393792</v>
      </c>
      <c r="G83" s="75"/>
      <c r="H83" s="75"/>
      <c r="I83" s="75">
        <f t="shared" si="15"/>
        <v>10057061.844393792</v>
      </c>
      <c r="J83" s="102"/>
      <c r="K83" s="368"/>
    </row>
    <row r="84" spans="1:14" x14ac:dyDescent="0.25">
      <c r="A84" s="320"/>
      <c r="B84" s="171"/>
      <c r="C84" s="193" t="s">
        <v>633</v>
      </c>
      <c r="D84" s="75"/>
      <c r="E84" s="75"/>
      <c r="F84" s="75">
        <f t="shared" ref="F84:I88" si="16">F$25*F54*F$17*F$18</f>
        <v>219128761.96679223</v>
      </c>
      <c r="G84" s="75"/>
      <c r="H84" s="75"/>
      <c r="I84" s="75">
        <f t="shared" si="16"/>
        <v>219128761.96679223</v>
      </c>
      <c r="J84" s="102"/>
      <c r="K84" s="320"/>
      <c r="N84" s="177"/>
    </row>
    <row r="85" spans="1:14" x14ac:dyDescent="0.25">
      <c r="A85" s="320"/>
      <c r="B85" s="171"/>
      <c r="C85" s="193" t="s">
        <v>634</v>
      </c>
      <c r="D85" s="75"/>
      <c r="E85" s="75"/>
      <c r="F85" s="75">
        <f t="shared" si="16"/>
        <v>599913.96072101453</v>
      </c>
      <c r="G85" s="75"/>
      <c r="H85" s="75"/>
      <c r="I85" s="75">
        <f t="shared" si="16"/>
        <v>599913.96072101453</v>
      </c>
      <c r="J85" s="102"/>
      <c r="K85" s="320"/>
    </row>
    <row r="86" spans="1:14" x14ac:dyDescent="0.25">
      <c r="A86" s="320"/>
      <c r="B86" s="171"/>
      <c r="C86" s="193" t="s">
        <v>635</v>
      </c>
      <c r="D86" s="75"/>
      <c r="E86" s="75"/>
      <c r="F86" s="75">
        <f t="shared" si="16"/>
        <v>10180.239693246023</v>
      </c>
      <c r="G86" s="75"/>
      <c r="H86" s="75"/>
      <c r="I86" s="75">
        <f t="shared" si="16"/>
        <v>10180.239693246023</v>
      </c>
      <c r="J86" s="102"/>
      <c r="K86" s="320"/>
    </row>
    <row r="87" spans="1:14" x14ac:dyDescent="0.25">
      <c r="A87" s="320"/>
      <c r="B87" s="171"/>
      <c r="C87" s="193" t="s">
        <v>636</v>
      </c>
      <c r="D87" s="75"/>
      <c r="E87" s="75"/>
      <c r="F87" s="75">
        <f t="shared" si="16"/>
        <v>576105.96054362308</v>
      </c>
      <c r="G87" s="75"/>
      <c r="H87" s="75"/>
      <c r="I87" s="75">
        <f t="shared" si="16"/>
        <v>576105.96054362308</v>
      </c>
      <c r="J87" s="102"/>
      <c r="K87" s="320"/>
    </row>
    <row r="88" spans="1:14" x14ac:dyDescent="0.25">
      <c r="A88" s="320"/>
      <c r="B88" s="171"/>
      <c r="C88" s="193" t="s">
        <v>637</v>
      </c>
      <c r="D88" s="75"/>
      <c r="E88" s="75"/>
      <c r="F88" s="75">
        <f t="shared" si="16"/>
        <v>62443.65412219565</v>
      </c>
      <c r="G88" s="75"/>
      <c r="H88" s="75"/>
      <c r="I88" s="75">
        <f t="shared" si="16"/>
        <v>62443.65412219565</v>
      </c>
      <c r="J88" s="102"/>
      <c r="K88" s="320"/>
    </row>
    <row r="89" spans="1:14" x14ac:dyDescent="0.25">
      <c r="A89" s="368"/>
      <c r="B89" s="724"/>
      <c r="C89" s="193" t="s">
        <v>638</v>
      </c>
      <c r="D89" s="129"/>
      <c r="E89" s="129"/>
      <c r="F89" s="75">
        <f>F$25*F59*F$17*F$18</f>
        <v>1922.3157409202174</v>
      </c>
      <c r="G89" s="129"/>
      <c r="H89" s="129"/>
      <c r="I89" s="75">
        <f>I$25*I59*I$17*I$18</f>
        <v>1922.3157409202174</v>
      </c>
      <c r="J89" s="102"/>
      <c r="K89" s="368"/>
    </row>
    <row r="90" spans="1:14" x14ac:dyDescent="0.25">
      <c r="A90" s="368"/>
      <c r="B90" s="724"/>
      <c r="C90" s="193" t="s">
        <v>639</v>
      </c>
      <c r="D90" s="129"/>
      <c r="E90" s="129"/>
      <c r="F90" s="75">
        <f>F$25*F60*F$17*F$18</f>
        <v>185927.42784600204</v>
      </c>
      <c r="G90" s="129"/>
      <c r="H90" s="129"/>
      <c r="I90" s="75">
        <f>I$25*I60*I$17*I$18</f>
        <v>185927.42784600204</v>
      </c>
      <c r="J90" s="102"/>
      <c r="K90" s="368"/>
    </row>
    <row r="91" spans="1:14" x14ac:dyDescent="0.25">
      <c r="A91" s="320"/>
      <c r="B91" s="171"/>
      <c r="C91" s="23"/>
      <c r="D91" s="23"/>
      <c r="E91" s="23"/>
      <c r="F91" s="23"/>
      <c r="G91" s="23"/>
      <c r="H91" s="23"/>
      <c r="I91" s="23"/>
      <c r="J91" s="102"/>
      <c r="K91" s="320"/>
    </row>
    <row r="92" spans="1:14" ht="12" customHeight="1" x14ac:dyDescent="0.25">
      <c r="A92" s="320"/>
      <c r="B92" s="171"/>
      <c r="C92" s="887" t="s">
        <v>318</v>
      </c>
      <c r="D92" s="887"/>
      <c r="E92" s="887"/>
      <c r="F92" s="887"/>
      <c r="G92" s="887"/>
      <c r="H92" s="887"/>
      <c r="I92" s="887"/>
      <c r="J92" s="116"/>
      <c r="K92" s="320"/>
    </row>
    <row r="93" spans="1:14" ht="15.75" thickBot="1" x14ac:dyDescent="0.3">
      <c r="A93" s="320"/>
      <c r="B93" s="171"/>
      <c r="C93" s="317" t="s">
        <v>319</v>
      </c>
      <c r="D93" s="264"/>
      <c r="E93" s="264"/>
      <c r="F93"/>
      <c r="G93"/>
      <c r="H93"/>
      <c r="I93"/>
      <c r="J93" s="102"/>
      <c r="K93" s="320"/>
    </row>
    <row r="94" spans="1:14" x14ac:dyDescent="0.25">
      <c r="A94" s="320"/>
      <c r="B94" s="181"/>
      <c r="C94" s="905" t="s">
        <v>116</v>
      </c>
      <c r="D94" s="906"/>
      <c r="E94" s="906"/>
      <c r="F94" s="907"/>
      <c r="G94" s="488"/>
      <c r="H94" s="488"/>
      <c r="I94" s="491">
        <f>F28+I28</f>
        <v>16530.612244897955</v>
      </c>
      <c r="J94" s="102"/>
      <c r="K94" s="320"/>
    </row>
    <row r="95" spans="1:14" ht="15.75" thickBot="1" x14ac:dyDescent="0.3">
      <c r="A95" s="368"/>
      <c r="B95" s="1"/>
      <c r="C95" s="899" t="s">
        <v>49</v>
      </c>
      <c r="D95" s="900"/>
      <c r="E95" s="900"/>
      <c r="F95" s="901"/>
      <c r="G95" s="437"/>
      <c r="H95" s="646"/>
      <c r="I95" s="486" t="s">
        <v>187</v>
      </c>
      <c r="J95" s="102"/>
      <c r="K95" s="368"/>
    </row>
    <row r="96" spans="1:14" x14ac:dyDescent="0.25">
      <c r="A96" s="320"/>
      <c r="B96" s="1"/>
      <c r="C96" s="309"/>
      <c r="D96" s="276"/>
      <c r="E96" s="276"/>
      <c r="F96" s="267"/>
      <c r="G96" s="1"/>
      <c r="H96" s="1"/>
      <c r="I96" s="276"/>
      <c r="J96" s="102"/>
      <c r="K96" s="320"/>
    </row>
    <row r="97" spans="1:17" ht="15.75" thickBot="1" x14ac:dyDescent="0.3">
      <c r="A97" s="368"/>
      <c r="B97" s="724"/>
      <c r="C97" s="778" t="s">
        <v>329</v>
      </c>
      <c r="D97" s="76"/>
      <c r="E97" s="76"/>
      <c r="F97" s="724"/>
      <c r="G97" s="76"/>
      <c r="H97" s="76"/>
      <c r="I97" s="76"/>
      <c r="J97" s="23"/>
      <c r="K97" s="368"/>
    </row>
    <row r="98" spans="1:17" x14ac:dyDescent="0.25">
      <c r="A98" s="368"/>
      <c r="B98" s="724"/>
      <c r="C98" s="896" t="s">
        <v>701</v>
      </c>
      <c r="D98" s="897"/>
      <c r="E98" s="897"/>
      <c r="F98" s="898"/>
      <c r="G98" s="782"/>
      <c r="H98" s="782"/>
      <c r="I98" s="858">
        <f t="shared" ref="I98:I104" si="17">(F62+F69+I62+I69-(F77+F84+I77+I84))/1000</f>
        <v>105190.9703913722</v>
      </c>
      <c r="J98" s="724"/>
      <c r="K98" s="368"/>
    </row>
    <row r="99" spans="1:17" x14ac:dyDescent="0.25">
      <c r="A99" s="368"/>
      <c r="B99" s="65"/>
      <c r="C99" s="893" t="s">
        <v>702</v>
      </c>
      <c r="D99" s="894"/>
      <c r="E99" s="894"/>
      <c r="F99" s="895"/>
      <c r="G99" s="744"/>
      <c r="H99" s="744"/>
      <c r="I99" s="859">
        <f t="shared" si="17"/>
        <v>89.388501117484651</v>
      </c>
      <c r="J99" s="65"/>
      <c r="K99" s="368"/>
    </row>
    <row r="100" spans="1:17" x14ac:dyDescent="0.25">
      <c r="A100" s="368"/>
      <c r="B100" s="65"/>
      <c r="C100" s="902" t="s">
        <v>703</v>
      </c>
      <c r="D100" s="912"/>
      <c r="E100" s="912"/>
      <c r="F100" s="912"/>
      <c r="G100" s="744"/>
      <c r="H100" s="744"/>
      <c r="I100" s="859">
        <f t="shared" si="17"/>
        <v>2.3032646455263022</v>
      </c>
      <c r="J100" s="65"/>
      <c r="K100" s="368"/>
    </row>
    <row r="101" spans="1:17" x14ac:dyDescent="0.25">
      <c r="A101" s="368"/>
      <c r="B101" s="65"/>
      <c r="C101" s="904" t="s">
        <v>704</v>
      </c>
      <c r="D101" s="903"/>
      <c r="E101" s="903"/>
      <c r="F101" s="903"/>
      <c r="G101" s="779"/>
      <c r="H101" s="779"/>
      <c r="I101" s="860">
        <f t="shared" si="17"/>
        <v>146.76428647902702</v>
      </c>
      <c r="J101" s="65"/>
      <c r="K101" s="368"/>
    </row>
    <row r="102" spans="1:17" x14ac:dyDescent="0.25">
      <c r="A102" s="368"/>
      <c r="B102" s="65"/>
      <c r="C102" s="904" t="s">
        <v>705</v>
      </c>
      <c r="D102" s="903"/>
      <c r="E102" s="903"/>
      <c r="F102" s="903"/>
      <c r="G102" s="779"/>
      <c r="H102" s="779"/>
      <c r="I102" s="860">
        <f t="shared" si="17"/>
        <v>53.412908637439834</v>
      </c>
      <c r="J102" s="65"/>
      <c r="K102" s="368"/>
    </row>
    <row r="103" spans="1:17" x14ac:dyDescent="0.25">
      <c r="A103" s="368"/>
      <c r="B103" s="65"/>
      <c r="C103" s="904" t="s">
        <v>706</v>
      </c>
      <c r="D103" s="903"/>
      <c r="E103" s="903"/>
      <c r="F103" s="903"/>
      <c r="G103" s="780"/>
      <c r="H103" s="780"/>
      <c r="I103" s="860">
        <f t="shared" si="17"/>
        <v>1.4315742166822529</v>
      </c>
      <c r="J103" s="65"/>
      <c r="K103" s="368"/>
    </row>
    <row r="104" spans="1:17" ht="15.75" thickBot="1" x14ac:dyDescent="0.3">
      <c r="A104" s="368"/>
      <c r="B104" s="65"/>
      <c r="C104" s="911" t="s">
        <v>707</v>
      </c>
      <c r="D104" s="910"/>
      <c r="E104" s="910"/>
      <c r="F104" s="910"/>
      <c r="G104" s="789"/>
      <c r="H104" s="789"/>
      <c r="I104" s="861">
        <f t="shared" si="17"/>
        <v>437.26032162047551</v>
      </c>
      <c r="J104" s="65"/>
      <c r="K104" s="368"/>
    </row>
    <row r="105" spans="1:17" x14ac:dyDescent="0.25">
      <c r="A105" s="368"/>
      <c r="B105" s="2"/>
      <c r="C105" s="908" t="s">
        <v>722</v>
      </c>
      <c r="D105" s="909"/>
      <c r="E105" s="909"/>
      <c r="F105" s="909"/>
      <c r="G105" s="782"/>
      <c r="H105" s="782"/>
      <c r="I105" s="783">
        <f>SUM(I98/$I$18)</f>
        <v>420.76388156548882</v>
      </c>
      <c r="J105" s="724"/>
      <c r="K105" s="368"/>
    </row>
    <row r="106" spans="1:17" x14ac:dyDescent="0.25">
      <c r="A106" s="368"/>
      <c r="B106" s="2"/>
      <c r="C106" s="904" t="s">
        <v>723</v>
      </c>
      <c r="D106" s="903"/>
      <c r="E106" s="903"/>
      <c r="F106" s="903"/>
      <c r="G106" s="779"/>
      <c r="H106" s="779"/>
      <c r="I106" s="784">
        <f t="shared" ref="I106:I111" si="18">SUM(I99/$I$18)</f>
        <v>0.35755400446993862</v>
      </c>
      <c r="J106" s="724"/>
      <c r="K106" s="368"/>
    </row>
    <row r="107" spans="1:17" x14ac:dyDescent="0.25">
      <c r="A107" s="368"/>
      <c r="B107" s="2"/>
      <c r="C107" s="904" t="s">
        <v>724</v>
      </c>
      <c r="D107" s="903"/>
      <c r="E107" s="903"/>
      <c r="F107" s="903"/>
      <c r="G107" s="779"/>
      <c r="H107" s="779"/>
      <c r="I107" s="784">
        <f t="shared" si="18"/>
        <v>9.2130585821052092E-3</v>
      </c>
      <c r="J107" s="724"/>
      <c r="K107" s="368"/>
    </row>
    <row r="108" spans="1:17" x14ac:dyDescent="0.25">
      <c r="A108" s="368"/>
      <c r="B108" s="2"/>
      <c r="C108" s="902" t="s">
        <v>725</v>
      </c>
      <c r="D108" s="903"/>
      <c r="E108" s="903"/>
      <c r="F108" s="903"/>
      <c r="G108" s="744"/>
      <c r="H108" s="744"/>
      <c r="I108" s="785">
        <f t="shared" si="18"/>
        <v>0.58705714591610814</v>
      </c>
      <c r="J108" s="724"/>
      <c r="K108" s="368"/>
    </row>
    <row r="109" spans="1:17" x14ac:dyDescent="0.25">
      <c r="A109" s="368"/>
      <c r="B109" s="2"/>
      <c r="C109" s="902" t="s">
        <v>726</v>
      </c>
      <c r="D109" s="903"/>
      <c r="E109" s="903"/>
      <c r="F109" s="903"/>
      <c r="G109" s="744"/>
      <c r="H109" s="744"/>
      <c r="I109" s="785">
        <f t="shared" si="18"/>
        <v>0.21365163454975933</v>
      </c>
      <c r="J109" s="724"/>
      <c r="K109" s="368"/>
    </row>
    <row r="110" spans="1:17" x14ac:dyDescent="0.25">
      <c r="A110" s="368"/>
      <c r="B110" s="2"/>
      <c r="C110" s="904" t="s">
        <v>733</v>
      </c>
      <c r="D110" s="903"/>
      <c r="E110" s="903"/>
      <c r="F110" s="903"/>
      <c r="G110" s="780"/>
      <c r="H110" s="780"/>
      <c r="I110" s="784">
        <f t="shared" si="18"/>
        <v>5.726296866729012E-3</v>
      </c>
      <c r="J110" s="724"/>
      <c r="K110" s="368"/>
    </row>
    <row r="111" spans="1:17" ht="15.75" thickBot="1" x14ac:dyDescent="0.3">
      <c r="A111" s="368"/>
      <c r="B111" s="2"/>
      <c r="C111" s="891" t="s">
        <v>729</v>
      </c>
      <c r="D111" s="910"/>
      <c r="E111" s="910"/>
      <c r="F111" s="910"/>
      <c r="G111" s="786"/>
      <c r="H111" s="786"/>
      <c r="I111" s="787">
        <f t="shared" si="18"/>
        <v>1.749041286481902</v>
      </c>
      <c r="J111" s="724"/>
      <c r="K111" s="368"/>
    </row>
    <row r="112" spans="1:17" s="257" customFormat="1" ht="15.75" thickBot="1" x14ac:dyDescent="0.3">
      <c r="A112" s="368"/>
      <c r="B112" s="166"/>
      <c r="C112" s="23"/>
      <c r="D112" s="312"/>
      <c r="E112" s="245"/>
      <c r="F112" s="312"/>
      <c r="G112" s="245"/>
      <c r="H112" s="245"/>
      <c r="I112" s="312"/>
      <c r="J112" s="102"/>
      <c r="K112" s="368"/>
      <c r="N112" s="246"/>
      <c r="O112" s="246"/>
      <c r="P112" s="246"/>
      <c r="Q112" s="246"/>
    </row>
    <row r="113" spans="1:11" x14ac:dyDescent="0.25">
      <c r="A113" s="368"/>
      <c r="B113" s="2"/>
      <c r="C113" s="908" t="s">
        <v>715</v>
      </c>
      <c r="D113" s="909"/>
      <c r="E113" s="909"/>
      <c r="F113" s="909"/>
      <c r="G113" s="782"/>
      <c r="H113" s="782"/>
      <c r="I113" s="790">
        <v>5479200</v>
      </c>
      <c r="J113" s="724"/>
      <c r="K113" s="368"/>
    </row>
    <row r="114" spans="1:11" x14ac:dyDescent="0.25">
      <c r="A114" s="368"/>
      <c r="B114" s="2"/>
      <c r="C114" s="904" t="s">
        <v>716</v>
      </c>
      <c r="D114" s="903"/>
      <c r="E114" s="903"/>
      <c r="F114" s="903"/>
      <c r="G114" s="779"/>
      <c r="H114" s="779"/>
      <c r="I114" s="791">
        <v>20</v>
      </c>
      <c r="J114" s="724"/>
      <c r="K114" s="368"/>
    </row>
    <row r="115" spans="1:11" x14ac:dyDescent="0.25">
      <c r="A115" s="368"/>
      <c r="B115" s="2"/>
      <c r="C115" s="902" t="s">
        <v>717</v>
      </c>
      <c r="D115" s="903"/>
      <c r="E115" s="903"/>
      <c r="F115" s="903"/>
      <c r="G115" s="744"/>
      <c r="H115" s="744"/>
      <c r="I115" s="792">
        <f>SUM($I$113/$I$114)/I99</f>
        <v>3064.8237365556702</v>
      </c>
      <c r="J115" s="724"/>
      <c r="K115" s="368"/>
    </row>
    <row r="116" spans="1:11" x14ac:dyDescent="0.25">
      <c r="A116" s="368"/>
      <c r="B116" s="2"/>
      <c r="C116" s="902" t="s">
        <v>718</v>
      </c>
      <c r="D116" s="903"/>
      <c r="E116" s="903"/>
      <c r="F116" s="903"/>
      <c r="G116" s="744"/>
      <c r="H116" s="744"/>
      <c r="I116" s="792">
        <f>SUM($I$113/$I$114)/I100</f>
        <v>118944.21274260449</v>
      </c>
      <c r="J116" s="724"/>
      <c r="K116" s="368"/>
    </row>
    <row r="117" spans="1:11" x14ac:dyDescent="0.25">
      <c r="A117" s="368"/>
      <c r="B117" s="2"/>
      <c r="C117" s="902" t="s">
        <v>719</v>
      </c>
      <c r="D117" s="903"/>
      <c r="E117" s="903"/>
      <c r="F117" s="903"/>
      <c r="G117" s="744"/>
      <c r="H117" s="744"/>
      <c r="I117" s="792">
        <f>($I$113/($I$114*$I$18))/I108</f>
        <v>1866.6666569400691</v>
      </c>
      <c r="J117" s="724"/>
      <c r="K117" s="368"/>
    </row>
    <row r="118" spans="1:11" x14ac:dyDescent="0.25">
      <c r="A118" s="368"/>
      <c r="B118" s="2"/>
      <c r="C118" s="902" t="s">
        <v>720</v>
      </c>
      <c r="D118" s="903"/>
      <c r="E118" s="903"/>
      <c r="F118" s="903"/>
      <c r="G118" s="781"/>
      <c r="H118" s="781"/>
      <c r="I118" s="792">
        <f>($I$113/($I$114*$I$18))/I109</f>
        <v>5129.0971974510194</v>
      </c>
      <c r="J118" s="724"/>
      <c r="K118" s="368"/>
    </row>
    <row r="119" spans="1:11" ht="15.75" thickBot="1" x14ac:dyDescent="0.3">
      <c r="A119" s="368"/>
      <c r="B119" s="2"/>
      <c r="C119" s="891" t="s">
        <v>721</v>
      </c>
      <c r="D119" s="892"/>
      <c r="E119" s="892"/>
      <c r="F119" s="892"/>
      <c r="G119" s="786"/>
      <c r="H119" s="786"/>
      <c r="I119" s="793">
        <f>($I$113/($I$114*$I$18))/I111</f>
        <v>626.53752571171162</v>
      </c>
      <c r="J119" s="724"/>
      <c r="K119" s="368"/>
    </row>
    <row r="120" spans="1:11" x14ac:dyDescent="0.25">
      <c r="A120" s="368"/>
      <c r="B120" s="724"/>
      <c r="C120" s="2"/>
      <c r="D120" s="724"/>
      <c r="E120" s="724"/>
      <c r="F120" s="724"/>
      <c r="G120" s="724"/>
      <c r="H120" s="724"/>
      <c r="I120" s="724"/>
      <c r="J120" s="724"/>
      <c r="K120" s="368"/>
    </row>
    <row r="121" spans="1:11" x14ac:dyDescent="0.25">
      <c r="A121" s="368"/>
      <c r="B121" s="368"/>
      <c r="C121" s="368"/>
      <c r="D121" s="368"/>
      <c r="E121" s="368"/>
      <c r="F121" s="368"/>
      <c r="G121" s="368"/>
      <c r="H121" s="368"/>
      <c r="I121" s="368"/>
      <c r="J121" s="368"/>
      <c r="K121" s="368"/>
    </row>
  </sheetData>
  <mergeCells count="25">
    <mergeCell ref="C94:F94"/>
    <mergeCell ref="C92:I92"/>
    <mergeCell ref="C3:I3"/>
    <mergeCell ref="C114:F114"/>
    <mergeCell ref="C113:F113"/>
    <mergeCell ref="C111:F111"/>
    <mergeCell ref="C106:F106"/>
    <mergeCell ref="C105:F105"/>
    <mergeCell ref="C108:F108"/>
    <mergeCell ref="C107:F107"/>
    <mergeCell ref="C104:F104"/>
    <mergeCell ref="C109:F109"/>
    <mergeCell ref="C103:F103"/>
    <mergeCell ref="C102:F102"/>
    <mergeCell ref="C101:F101"/>
    <mergeCell ref="C100:F100"/>
    <mergeCell ref="C119:F119"/>
    <mergeCell ref="C99:F99"/>
    <mergeCell ref="C98:F98"/>
    <mergeCell ref="C95:F95"/>
    <mergeCell ref="C118:F118"/>
    <mergeCell ref="C117:F117"/>
    <mergeCell ref="C116:F116"/>
    <mergeCell ref="C115:F115"/>
    <mergeCell ref="C110:F110"/>
  </mergeCells>
  <printOptions headings="1" gridLines="1"/>
  <pageMargins left="0.7" right="0.7" top="0.75" bottom="0.75" header="0.3" footer="0.3"/>
  <pageSetup paperSize="17" scale="62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OtherVariables!$P$24:$P$34</xm:f>
          </x14:formula1>
          <xm:sqref>I6 F6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E99"/>
  <sheetViews>
    <sheetView showGridLines="0" topLeftCell="A78" zoomScale="85" zoomScaleNormal="85" workbookViewId="0">
      <selection activeCell="H99" sqref="A1:H99"/>
    </sheetView>
  </sheetViews>
  <sheetFormatPr defaultRowHeight="15" x14ac:dyDescent="0.25"/>
  <cols>
    <col min="1" max="1" width="2.42578125" style="165" customWidth="1"/>
    <col min="2" max="2" width="2.140625" style="165" customWidth="1"/>
    <col min="3" max="3" width="65.5703125" style="165" customWidth="1"/>
    <col min="4" max="4" width="22.140625" style="165" customWidth="1"/>
    <col min="5" max="5" width="22.140625" style="249" customWidth="1"/>
    <col min="6" max="6" width="29" style="165" bestFit="1" customWidth="1"/>
    <col min="7" max="7" width="2.5703125" style="165" customWidth="1"/>
    <col min="8" max="8" width="2.28515625" style="165" customWidth="1"/>
    <col min="9" max="10" width="11.5703125" style="371" bestFit="1" customWidth="1"/>
    <col min="11" max="11" width="11.7109375" style="371" bestFit="1" customWidth="1"/>
    <col min="12" max="12" width="12.42578125" style="371" bestFit="1" customWidth="1"/>
    <col min="13" max="31" width="9.140625" style="371"/>
    <col min="32" max="16384" width="9.140625" style="165"/>
  </cols>
  <sheetData>
    <row r="1" spans="1:31" ht="10.5" customHeight="1" x14ac:dyDescent="0.25">
      <c r="A1" s="306"/>
      <c r="B1" s="306"/>
      <c r="C1" s="306"/>
      <c r="D1" s="306"/>
      <c r="E1" s="306"/>
      <c r="F1" s="306"/>
      <c r="G1" s="306"/>
      <c r="H1" s="306"/>
    </row>
    <row r="2" spans="1:31" ht="9" customHeight="1" x14ac:dyDescent="0.25">
      <c r="A2" s="306"/>
      <c r="B2" s="305"/>
      <c r="C2" s="305"/>
      <c r="D2" s="305"/>
      <c r="E2" s="305"/>
      <c r="F2" s="305"/>
      <c r="G2" s="305"/>
      <c r="H2" s="306"/>
    </row>
    <row r="3" spans="1:31" ht="28.5" x14ac:dyDescent="0.25">
      <c r="A3" s="306"/>
      <c r="B3" s="171"/>
      <c r="C3" s="889" t="s">
        <v>148</v>
      </c>
      <c r="D3" s="889"/>
      <c r="E3" s="889"/>
      <c r="F3" s="889"/>
      <c r="G3" s="265"/>
      <c r="H3" s="306"/>
      <c r="J3" s="523"/>
    </row>
    <row r="4" spans="1:31" ht="17.25" customHeight="1" x14ac:dyDescent="0.25">
      <c r="A4" s="306"/>
      <c r="B4" s="171"/>
      <c r="C4"/>
      <c r="D4"/>
      <c r="E4" s="35"/>
      <c r="F4"/>
      <c r="G4" s="265"/>
      <c r="H4" s="306"/>
      <c r="M4" s="496"/>
      <c r="N4" s="496"/>
    </row>
    <row r="5" spans="1:31" s="257" customFormat="1" ht="18" customHeight="1" x14ac:dyDescent="0.25">
      <c r="A5" s="306"/>
      <c r="B5" s="172"/>
      <c r="C5" s="913" t="s">
        <v>321</v>
      </c>
      <c r="D5" s="913"/>
      <c r="E5" s="913"/>
      <c r="F5" s="913"/>
      <c r="G5" s="265"/>
      <c r="H5" s="306"/>
      <c r="I5" s="252"/>
      <c r="J5" s="371"/>
      <c r="K5" s="371"/>
      <c r="L5" s="371"/>
      <c r="M5" s="496"/>
      <c r="N5" s="495"/>
      <c r="O5" s="371"/>
      <c r="P5" s="371"/>
      <c r="Q5" s="371"/>
      <c r="R5" s="371"/>
      <c r="S5" s="371"/>
      <c r="T5" s="371"/>
      <c r="U5" s="371"/>
      <c r="V5" s="371"/>
      <c r="W5" s="371"/>
      <c r="X5" s="371"/>
      <c r="Y5" s="371"/>
      <c r="Z5" s="371"/>
      <c r="AA5" s="371"/>
      <c r="AB5" s="371"/>
      <c r="AC5" s="371"/>
      <c r="AD5" s="371"/>
      <c r="AE5" s="371"/>
    </row>
    <row r="6" spans="1:31" s="257" customFormat="1" ht="15.75" x14ac:dyDescent="0.25">
      <c r="A6" s="306"/>
      <c r="B6" s="171"/>
      <c r="C6" s="298" t="s">
        <v>324</v>
      </c>
      <c r="D6" s="297"/>
      <c r="E6" s="296"/>
      <c r="F6" s="298" t="s">
        <v>326</v>
      </c>
      <c r="G6" s="35"/>
      <c r="H6" s="306"/>
      <c r="I6" s="547"/>
      <c r="J6" s="542"/>
      <c r="K6" s="524"/>
      <c r="L6" s="524"/>
      <c r="M6" s="496"/>
      <c r="N6" s="495"/>
      <c r="O6" s="371"/>
      <c r="P6" s="371"/>
      <c r="Q6" s="371"/>
      <c r="R6" s="371"/>
      <c r="S6" s="371"/>
      <c r="T6" s="371"/>
      <c r="U6" s="371"/>
      <c r="V6" s="371"/>
      <c r="W6" s="371"/>
      <c r="X6" s="371"/>
      <c r="Y6" s="371"/>
      <c r="Z6" s="371"/>
      <c r="AA6" s="371"/>
      <c r="AB6" s="371"/>
      <c r="AC6" s="371"/>
      <c r="AD6" s="371"/>
      <c r="AE6" s="371"/>
    </row>
    <row r="7" spans="1:31" s="257" customFormat="1" x14ac:dyDescent="0.25">
      <c r="A7" s="306"/>
      <c r="B7" s="166"/>
      <c r="C7" s="227" t="s">
        <v>120</v>
      </c>
      <c r="D7" s="263">
        <v>2015</v>
      </c>
      <c r="E7" s="263">
        <v>2025</v>
      </c>
      <c r="F7" s="203">
        <v>2020</v>
      </c>
      <c r="G7" s="43"/>
      <c r="H7" s="306"/>
      <c r="I7" s="547"/>
      <c r="J7" s="371"/>
      <c r="K7" s="524"/>
      <c r="L7" s="524"/>
      <c r="M7" s="496"/>
      <c r="N7" s="495"/>
      <c r="O7" s="371"/>
      <c r="P7" s="371"/>
      <c r="Q7" s="371"/>
      <c r="R7" s="371"/>
      <c r="S7" s="371"/>
      <c r="T7" s="371"/>
      <c r="U7" s="371"/>
      <c r="V7" s="371"/>
      <c r="W7" s="371"/>
      <c r="X7" s="371"/>
      <c r="Y7" s="371"/>
      <c r="Z7" s="371"/>
      <c r="AA7" s="371"/>
      <c r="AB7" s="371"/>
      <c r="AC7" s="371"/>
      <c r="AD7" s="371"/>
      <c r="AE7" s="371"/>
    </row>
    <row r="8" spans="1:31" s="257" customFormat="1" x14ac:dyDescent="0.25">
      <c r="A8" s="306"/>
      <c r="B8" s="166"/>
      <c r="C8" s="205" t="s">
        <v>26</v>
      </c>
      <c r="D8" s="26"/>
      <c r="E8" s="26"/>
      <c r="F8" s="64" t="s">
        <v>494</v>
      </c>
      <c r="G8" s="43"/>
      <c r="H8" s="306"/>
      <c r="I8" s="371"/>
      <c r="J8" s="371"/>
      <c r="K8" s="524"/>
      <c r="L8" s="524"/>
      <c r="M8" s="496"/>
      <c r="N8" s="495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371"/>
      <c r="Z8" s="371"/>
      <c r="AA8" s="371"/>
      <c r="AB8" s="371"/>
      <c r="AC8" s="371"/>
      <c r="AD8" s="371"/>
      <c r="AE8" s="371"/>
    </row>
    <row r="9" spans="1:31" s="257" customFormat="1" x14ac:dyDescent="0.25">
      <c r="A9" s="368"/>
      <c r="B9" s="166"/>
      <c r="C9" s="228" t="s">
        <v>119</v>
      </c>
      <c r="D9" s="51"/>
      <c r="E9" s="51"/>
      <c r="F9" s="51">
        <v>55</v>
      </c>
      <c r="G9" s="43"/>
      <c r="H9" s="368"/>
      <c r="I9" s="371"/>
      <c r="J9" s="371"/>
      <c r="K9" s="524"/>
      <c r="L9" s="524"/>
      <c r="M9" s="496"/>
      <c r="N9" s="495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</row>
    <row r="10" spans="1:31" s="257" customFormat="1" x14ac:dyDescent="0.25">
      <c r="A10" s="368"/>
      <c r="B10" s="166"/>
      <c r="C10" s="188" t="s">
        <v>47</v>
      </c>
      <c r="D10" s="51"/>
      <c r="E10" s="51"/>
      <c r="F10" s="51">
        <v>20</v>
      </c>
      <c r="G10" s="43"/>
      <c r="H10" s="368"/>
      <c r="I10" s="371"/>
      <c r="J10" s="371"/>
      <c r="K10" s="524"/>
      <c r="L10" s="524"/>
      <c r="M10" s="496"/>
      <c r="N10" s="495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</row>
    <row r="11" spans="1:31" s="257" customFormat="1" x14ac:dyDescent="0.25">
      <c r="A11" s="368"/>
      <c r="B11" s="166"/>
      <c r="C11" s="188" t="s">
        <v>516</v>
      </c>
      <c r="D11" s="51"/>
      <c r="E11" s="51"/>
      <c r="F11" s="51"/>
      <c r="G11" s="43"/>
      <c r="H11" s="368"/>
      <c r="I11" s="371"/>
      <c r="J11" s="371"/>
      <c r="K11" s="524"/>
      <c r="L11" s="524"/>
      <c r="M11" s="496"/>
      <c r="N11" s="495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  <c r="AA11" s="371"/>
      <c r="AB11" s="371"/>
      <c r="AC11" s="371"/>
      <c r="AD11" s="371"/>
      <c r="AE11" s="371"/>
    </row>
    <row r="12" spans="1:31" s="257" customFormat="1" ht="15.75" x14ac:dyDescent="0.25">
      <c r="A12" s="368"/>
      <c r="B12" s="166"/>
      <c r="C12" s="355" t="s">
        <v>306</v>
      </c>
      <c r="D12" s="357"/>
      <c r="E12" s="359"/>
      <c r="F12" s="355"/>
      <c r="G12" s="43"/>
      <c r="H12" s="368"/>
      <c r="I12" s="371"/>
      <c r="J12" s="371"/>
      <c r="K12" s="524"/>
      <c r="L12" s="524"/>
      <c r="M12" s="496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  <c r="AA12" s="371"/>
      <c r="AB12" s="371"/>
      <c r="AC12" s="371"/>
      <c r="AD12" s="371"/>
      <c r="AE12" s="371"/>
    </row>
    <row r="13" spans="1:31" s="257" customFormat="1" x14ac:dyDescent="0.25">
      <c r="A13" s="306"/>
      <c r="B13" s="166"/>
      <c r="C13" s="231" t="s">
        <v>46</v>
      </c>
      <c r="D13" s="64"/>
      <c r="E13" s="64"/>
      <c r="F13" s="26" t="s">
        <v>657</v>
      </c>
      <c r="G13" s="43"/>
      <c r="H13" s="306"/>
      <c r="I13" s="371"/>
      <c r="J13" s="371"/>
      <c r="K13" s="524"/>
      <c r="L13" s="524"/>
      <c r="M13" s="496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</row>
    <row r="14" spans="1:31" s="257" customFormat="1" x14ac:dyDescent="0.25">
      <c r="A14" s="306"/>
      <c r="B14" s="22"/>
      <c r="C14" s="205" t="s">
        <v>552</v>
      </c>
      <c r="D14" s="26"/>
      <c r="E14" s="26"/>
      <c r="F14" s="64">
        <v>4</v>
      </c>
      <c r="G14" s="43"/>
      <c r="H14" s="306"/>
      <c r="I14" s="371"/>
      <c r="J14" s="371"/>
      <c r="K14" s="524"/>
      <c r="L14" s="524"/>
      <c r="M14" s="496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</row>
    <row r="15" spans="1:31" s="257" customFormat="1" x14ac:dyDescent="0.25">
      <c r="A15" s="368"/>
      <c r="B15" s="22"/>
      <c r="C15" s="193" t="s">
        <v>511</v>
      </c>
      <c r="D15" s="28"/>
      <c r="E15" s="28"/>
      <c r="F15" s="28">
        <v>1565</v>
      </c>
      <c r="G15" s="43"/>
      <c r="H15" s="368"/>
      <c r="I15" s="371"/>
      <c r="J15" s="371"/>
      <c r="K15" s="524"/>
      <c r="L15" s="524"/>
      <c r="M15" s="496"/>
      <c r="N15" s="371"/>
      <c r="O15" s="371"/>
      <c r="P15" s="371"/>
      <c r="Q15" s="371"/>
      <c r="R15" s="371"/>
      <c r="S15" s="371"/>
      <c r="T15" s="371"/>
      <c r="U15" s="371"/>
      <c r="V15" s="371"/>
      <c r="W15" s="371"/>
      <c r="X15" s="371"/>
      <c r="Y15" s="371"/>
      <c r="Z15" s="371"/>
      <c r="AA15" s="371"/>
      <c r="AB15" s="371"/>
      <c r="AC15" s="371"/>
      <c r="AD15" s="371"/>
      <c r="AE15" s="371"/>
    </row>
    <row r="16" spans="1:31" s="257" customFormat="1" x14ac:dyDescent="0.25">
      <c r="A16" s="368"/>
      <c r="B16" s="22"/>
      <c r="C16" s="188" t="s">
        <v>512</v>
      </c>
      <c r="D16" s="29"/>
      <c r="E16" s="29"/>
      <c r="F16" s="29">
        <v>0</v>
      </c>
      <c r="G16" s="43"/>
      <c r="H16" s="368"/>
      <c r="I16" s="371"/>
      <c r="J16" s="371"/>
      <c r="K16" s="524"/>
      <c r="L16" s="524"/>
      <c r="M16" s="496"/>
      <c r="N16" s="371"/>
      <c r="O16" s="371"/>
      <c r="P16" s="371"/>
      <c r="Q16" s="371"/>
      <c r="R16" s="371"/>
      <c r="S16" s="371"/>
      <c r="T16" s="371"/>
      <c r="U16" s="371"/>
      <c r="V16" s="371"/>
      <c r="W16" s="371"/>
      <c r="X16" s="371"/>
      <c r="Y16" s="371"/>
      <c r="Z16" s="371"/>
      <c r="AA16" s="371"/>
      <c r="AB16" s="371"/>
      <c r="AC16" s="371"/>
      <c r="AD16" s="371"/>
      <c r="AE16" s="371"/>
    </row>
    <row r="17" spans="1:31" s="257" customFormat="1" ht="15.75" x14ac:dyDescent="0.25">
      <c r="A17" s="368"/>
      <c r="B17" s="22"/>
      <c r="C17" s="355" t="s">
        <v>307</v>
      </c>
      <c r="D17" s="357"/>
      <c r="E17" s="359"/>
      <c r="F17" s="355"/>
      <c r="G17" s="43"/>
      <c r="H17" s="368"/>
      <c r="I17" s="371"/>
      <c r="J17" s="371"/>
      <c r="K17" s="524"/>
      <c r="L17" s="524"/>
      <c r="M17" s="496"/>
      <c r="N17" s="371"/>
      <c r="O17" s="371"/>
      <c r="P17" s="371"/>
      <c r="Q17" s="371"/>
      <c r="R17" s="371"/>
      <c r="S17" s="371"/>
      <c r="T17" s="371"/>
      <c r="U17" s="371"/>
      <c r="V17" s="371"/>
      <c r="W17" s="371"/>
      <c r="X17" s="371"/>
      <c r="Y17" s="371"/>
      <c r="Z17" s="371"/>
      <c r="AA17" s="371"/>
      <c r="AB17" s="371"/>
      <c r="AC17" s="371"/>
      <c r="AD17" s="371"/>
      <c r="AE17" s="371"/>
    </row>
    <row r="18" spans="1:31" s="257" customFormat="1" x14ac:dyDescent="0.25">
      <c r="A18" s="306"/>
      <c r="B18" s="22"/>
      <c r="C18" s="205" t="s">
        <v>46</v>
      </c>
      <c r="D18" s="64"/>
      <c r="E18" s="64"/>
      <c r="F18" s="26" t="s">
        <v>657</v>
      </c>
      <c r="G18" s="43"/>
      <c r="H18" s="306"/>
      <c r="I18" s="371"/>
      <c r="J18" s="371"/>
      <c r="K18" s="371"/>
      <c r="L18" s="371"/>
      <c r="M18" s="496"/>
      <c r="N18" s="371"/>
      <c r="O18" s="371"/>
      <c r="P18" s="371"/>
      <c r="Q18" s="371"/>
      <c r="R18" s="371"/>
      <c r="S18" s="371"/>
      <c r="T18" s="371"/>
      <c r="U18" s="371"/>
      <c r="V18" s="371"/>
      <c r="W18" s="371"/>
      <c r="X18" s="371"/>
      <c r="Y18" s="371"/>
      <c r="Z18" s="371"/>
      <c r="AA18" s="371"/>
      <c r="AB18" s="371"/>
      <c r="AC18" s="371"/>
      <c r="AD18" s="371"/>
      <c r="AE18" s="371"/>
    </row>
    <row r="19" spans="1:31" s="257" customFormat="1" x14ac:dyDescent="0.25">
      <c r="A19" s="306"/>
      <c r="B19" s="22"/>
      <c r="C19" s="205" t="s">
        <v>552</v>
      </c>
      <c r="D19" s="26"/>
      <c r="E19" s="26"/>
      <c r="F19" s="64">
        <v>2</v>
      </c>
      <c r="G19" s="48"/>
      <c r="H19" s="306"/>
      <c r="I19" s="371"/>
      <c r="J19" s="371"/>
      <c r="K19" s="524"/>
      <c r="L19" s="524"/>
      <c r="M19" s="496"/>
      <c r="N19" s="496"/>
      <c r="O19" s="371"/>
      <c r="P19" s="371"/>
      <c r="Q19" s="371"/>
      <c r="R19" s="371"/>
      <c r="S19" s="371"/>
      <c r="T19" s="371"/>
      <c r="U19" s="371"/>
      <c r="V19" s="371"/>
      <c r="W19" s="371"/>
      <c r="X19" s="371"/>
      <c r="Y19" s="371"/>
      <c r="Z19" s="371"/>
      <c r="AA19" s="371"/>
      <c r="AB19" s="371"/>
      <c r="AC19" s="371"/>
      <c r="AD19" s="371"/>
      <c r="AE19" s="371"/>
    </row>
    <row r="20" spans="1:31" s="257" customFormat="1" x14ac:dyDescent="0.25">
      <c r="A20" s="306"/>
      <c r="B20" s="166"/>
      <c r="C20" s="193" t="s">
        <v>553</v>
      </c>
      <c r="D20" s="28"/>
      <c r="E20" s="28"/>
      <c r="F20" s="28">
        <v>255</v>
      </c>
      <c r="G20" s="113"/>
      <c r="H20" s="306"/>
      <c r="I20" s="371"/>
      <c r="J20" s="371"/>
      <c r="K20" s="524"/>
      <c r="L20" s="524"/>
      <c r="M20" s="496"/>
      <c r="N20" s="495"/>
      <c r="O20" s="371"/>
      <c r="P20" s="371"/>
      <c r="Q20" s="371"/>
      <c r="R20" s="371"/>
      <c r="S20" s="371"/>
      <c r="T20" s="371"/>
      <c r="U20" s="371"/>
      <c r="V20" s="371"/>
      <c r="W20" s="371"/>
      <c r="X20" s="371"/>
      <c r="Y20" s="371"/>
      <c r="Z20" s="371"/>
      <c r="AA20" s="371"/>
      <c r="AB20" s="371"/>
      <c r="AC20" s="371"/>
      <c r="AD20" s="371"/>
      <c r="AE20" s="371"/>
    </row>
    <row r="21" spans="1:31" s="257" customFormat="1" x14ac:dyDescent="0.25">
      <c r="A21" s="306"/>
      <c r="B21" s="166"/>
      <c r="C21" s="188" t="s">
        <v>512</v>
      </c>
      <c r="D21" s="29"/>
      <c r="E21" s="29"/>
      <c r="F21" s="29">
        <v>0</v>
      </c>
      <c r="G21" s="48"/>
      <c r="H21" s="306"/>
      <c r="I21" s="371"/>
      <c r="J21" s="371"/>
      <c r="K21" s="524"/>
      <c r="L21" s="524"/>
      <c r="M21" s="496"/>
      <c r="N21" s="495"/>
      <c r="O21" s="371"/>
      <c r="P21" s="371"/>
      <c r="Q21" s="371"/>
      <c r="R21" s="371"/>
      <c r="S21" s="371"/>
      <c r="T21" s="371"/>
      <c r="U21" s="371"/>
      <c r="V21" s="371"/>
      <c r="W21" s="371"/>
      <c r="X21" s="371"/>
      <c r="Y21" s="371"/>
      <c r="Z21" s="371"/>
      <c r="AA21" s="371"/>
      <c r="AB21" s="371"/>
      <c r="AC21" s="371"/>
      <c r="AD21" s="371"/>
      <c r="AE21" s="371"/>
    </row>
    <row r="22" spans="1:31" s="257" customFormat="1" x14ac:dyDescent="0.25">
      <c r="A22" s="306"/>
      <c r="B22" s="166"/>
      <c r="C22" s="116"/>
      <c r="D22" s="226"/>
      <c r="E22" s="226"/>
      <c r="F22" s="226"/>
      <c r="G22" s="268"/>
      <c r="H22" s="306"/>
      <c r="I22" s="547"/>
      <c r="J22" s="371"/>
      <c r="K22" s="524"/>
      <c r="L22" s="524"/>
      <c r="M22" s="496"/>
      <c r="N22" s="495"/>
      <c r="O22" s="371"/>
      <c r="P22" s="371"/>
      <c r="Q22" s="371"/>
      <c r="R22" s="371"/>
      <c r="S22" s="371"/>
      <c r="T22" s="371"/>
      <c r="U22" s="371"/>
      <c r="V22" s="371"/>
      <c r="W22" s="371"/>
      <c r="X22" s="371"/>
      <c r="Y22" s="371"/>
      <c r="Z22" s="371"/>
      <c r="AA22" s="371"/>
      <c r="AB22" s="371"/>
      <c r="AC22" s="371"/>
      <c r="AD22" s="371"/>
      <c r="AE22" s="371"/>
    </row>
    <row r="23" spans="1:31" s="257" customFormat="1" ht="15.75" x14ac:dyDescent="0.25">
      <c r="A23" s="306"/>
      <c r="B23" s="166"/>
      <c r="C23" s="890" t="s">
        <v>320</v>
      </c>
      <c r="D23" s="890"/>
      <c r="E23" s="890"/>
      <c r="F23" s="890"/>
      <c r="G23" s="268"/>
      <c r="H23" s="306"/>
      <c r="I23" s="371"/>
      <c r="J23" s="371"/>
      <c r="K23" s="371"/>
      <c r="L23" s="524"/>
      <c r="M23" s="496"/>
      <c r="N23" s="495"/>
      <c r="O23" s="371"/>
      <c r="P23" s="371"/>
      <c r="Q23" s="371"/>
      <c r="R23" s="371"/>
      <c r="S23" s="371"/>
      <c r="T23" s="371"/>
      <c r="U23" s="371"/>
      <c r="V23" s="371"/>
      <c r="W23" s="371"/>
      <c r="X23" s="371"/>
      <c r="Y23" s="371"/>
      <c r="Z23" s="371"/>
      <c r="AA23" s="371"/>
      <c r="AB23" s="371"/>
      <c r="AC23" s="371"/>
      <c r="AD23" s="371"/>
      <c r="AE23" s="371"/>
    </row>
    <row r="24" spans="1:31" s="257" customFormat="1" x14ac:dyDescent="0.25">
      <c r="A24" s="306"/>
      <c r="B24" s="173"/>
      <c r="C24" s="299" t="s">
        <v>1</v>
      </c>
      <c r="D24" s="20"/>
      <c r="E24" s="20"/>
      <c r="F24" s="20"/>
      <c r="G24" s="62"/>
      <c r="H24" s="306"/>
      <c r="I24" s="547"/>
      <c r="J24" s="371"/>
      <c r="K24" s="371"/>
      <c r="L24" s="371"/>
      <c r="M24" s="496"/>
      <c r="N24" s="495"/>
      <c r="O24" s="524"/>
      <c r="P24" s="371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  <c r="AD24" s="371"/>
      <c r="AE24" s="371"/>
    </row>
    <row r="25" spans="1:31" s="257" customFormat="1" x14ac:dyDescent="0.25">
      <c r="A25" s="306"/>
      <c r="B25" s="173"/>
      <c r="C25" s="196" t="s">
        <v>65</v>
      </c>
      <c r="D25" s="16"/>
      <c r="E25" s="16"/>
      <c r="F25" s="441">
        <v>10</v>
      </c>
      <c r="G25" s="43"/>
      <c r="H25" s="306"/>
      <c r="I25" s="234"/>
      <c r="J25" s="371"/>
      <c r="K25" s="371"/>
      <c r="L25" s="371"/>
      <c r="M25" s="524"/>
      <c r="N25" s="371"/>
      <c r="O25" s="524"/>
      <c r="P25" s="371"/>
      <c r="Q25" s="371"/>
      <c r="R25" s="371"/>
      <c r="S25" s="371"/>
      <c r="T25" s="371"/>
      <c r="U25" s="371"/>
      <c r="V25" s="371"/>
      <c r="W25" s="371"/>
      <c r="X25" s="371"/>
      <c r="Y25" s="371"/>
      <c r="Z25" s="371"/>
      <c r="AA25" s="371"/>
      <c r="AB25" s="371"/>
      <c r="AC25" s="371"/>
      <c r="AD25" s="371"/>
      <c r="AE25" s="371"/>
    </row>
    <row r="26" spans="1:31" s="257" customFormat="1" x14ac:dyDescent="0.25">
      <c r="A26" s="306"/>
      <c r="B26" s="166"/>
      <c r="C26" s="196" t="s">
        <v>66</v>
      </c>
      <c r="D26" s="16"/>
      <c r="E26" s="16"/>
      <c r="F26" s="441">
        <v>250</v>
      </c>
      <c r="G26" s="43"/>
      <c r="H26" s="306"/>
      <c r="I26" s="371"/>
      <c r="J26" s="371"/>
      <c r="K26" s="524"/>
      <c r="L26" s="371"/>
      <c r="M26" s="371"/>
      <c r="N26" s="371"/>
      <c r="O26" s="524"/>
      <c r="P26" s="371"/>
      <c r="Q26" s="371"/>
      <c r="R26" s="371"/>
      <c r="S26" s="371"/>
      <c r="T26" s="371"/>
      <c r="U26" s="371"/>
      <c r="V26" s="371"/>
      <c r="W26" s="371"/>
      <c r="X26" s="371"/>
      <c r="Y26" s="371"/>
      <c r="Z26" s="371"/>
      <c r="AA26" s="371"/>
      <c r="AB26" s="371"/>
      <c r="AC26" s="371"/>
      <c r="AD26" s="371"/>
      <c r="AE26" s="371"/>
    </row>
    <row r="27" spans="1:31" s="257" customFormat="1" x14ac:dyDescent="0.25">
      <c r="A27" s="306"/>
      <c r="B27" s="166"/>
      <c r="C27" s="196" t="s">
        <v>523</v>
      </c>
      <c r="D27" s="16"/>
      <c r="E27" s="16"/>
      <c r="F27" s="441">
        <f>VLOOKUP(F13,OtherVariables!B276:C286,2,FALSE)</f>
        <v>0.55000000000000004</v>
      </c>
      <c r="G27" s="43"/>
      <c r="H27" s="306"/>
      <c r="I27" s="371"/>
      <c r="J27" s="438"/>
      <c r="K27" s="371"/>
      <c r="L27" s="524"/>
      <c r="M27" s="371"/>
      <c r="N27" s="371"/>
      <c r="O27" s="371"/>
      <c r="P27" s="371"/>
      <c r="Q27" s="371"/>
      <c r="R27" s="371"/>
      <c r="S27" s="371"/>
      <c r="T27" s="371"/>
      <c r="U27" s="371"/>
      <c r="V27" s="371"/>
      <c r="W27" s="371"/>
      <c r="X27" s="371"/>
      <c r="Y27" s="371"/>
      <c r="Z27" s="371"/>
      <c r="AA27" s="371"/>
      <c r="AB27" s="371"/>
      <c r="AC27" s="371"/>
      <c r="AD27" s="371"/>
      <c r="AE27" s="371"/>
    </row>
    <row r="28" spans="1:31" x14ac:dyDescent="0.25">
      <c r="A28" s="368"/>
      <c r="B28" s="166"/>
      <c r="C28" s="196" t="s">
        <v>524</v>
      </c>
      <c r="D28" s="699"/>
      <c r="E28" s="699"/>
      <c r="F28" s="441">
        <f>VLOOKUP(F18,OtherVariables!B276:C286,2,FALSE)</f>
        <v>0.55000000000000004</v>
      </c>
      <c r="G28" s="43"/>
      <c r="H28" s="368"/>
    </row>
    <row r="29" spans="1:31" x14ac:dyDescent="0.25">
      <c r="A29" s="368"/>
      <c r="B29" s="166"/>
      <c r="C29" s="196" t="s">
        <v>525</v>
      </c>
      <c r="D29" s="699"/>
      <c r="E29" s="699"/>
      <c r="F29" s="441">
        <f>IF((F15/F48)&gt;(F20/F49),F27,F28)</f>
        <v>0.55000000000000004</v>
      </c>
      <c r="G29" s="43"/>
      <c r="H29" s="368"/>
      <c r="J29" s="496"/>
    </row>
    <row r="30" spans="1:31" x14ac:dyDescent="0.25">
      <c r="A30" s="306"/>
      <c r="B30" s="166"/>
      <c r="C30" s="299" t="s">
        <v>325</v>
      </c>
      <c r="D30" s="242"/>
      <c r="E30" s="242"/>
      <c r="F30" s="300">
        <f>F7</f>
        <v>2020</v>
      </c>
      <c r="G30" s="43"/>
      <c r="H30" s="306"/>
      <c r="J30" s="496"/>
      <c r="M30" s="526"/>
      <c r="N30" s="527"/>
      <c r="P30" s="526"/>
      <c r="Q30" s="527"/>
    </row>
    <row r="31" spans="1:31" x14ac:dyDescent="0.25">
      <c r="A31" s="306"/>
      <c r="B31" s="166"/>
      <c r="C31" s="194" t="s">
        <v>621</v>
      </c>
      <c r="D31" s="10">
        <f>'2015ER'!AG4</f>
        <v>3544.7317355931123</v>
      </c>
      <c r="E31" s="10">
        <f>'2025ER'!AG4</f>
        <v>2753.9732713183676</v>
      </c>
      <c r="F31" s="381">
        <f>TREND(D31:E31,$D$7:$E$7,$F$7)</f>
        <v>3149.3525034557388</v>
      </c>
      <c r="G31" s="53"/>
      <c r="H31" s="306"/>
      <c r="J31" s="496"/>
      <c r="K31" s="438"/>
      <c r="M31" s="526"/>
      <c r="N31" s="527"/>
      <c r="P31" s="526"/>
      <c r="Q31" s="527"/>
    </row>
    <row r="32" spans="1:31" s="244" customFormat="1" x14ac:dyDescent="0.25">
      <c r="A32" s="306"/>
      <c r="B32" s="166"/>
      <c r="C32" s="194" t="s">
        <v>221</v>
      </c>
      <c r="D32" s="10">
        <f>'2015ER'!AG5</f>
        <v>1.5994820236445826</v>
      </c>
      <c r="E32" s="10">
        <f>'2025ER'!AG5</f>
        <v>0.35030066832913132</v>
      </c>
      <c r="F32" s="381">
        <f t="shared" ref="F32:F42" si="0">TREND(D32:E32,$D$7:$E$7,$F$7)</f>
        <v>0.97489134598686178</v>
      </c>
      <c r="G32" s="53"/>
      <c r="H32" s="306"/>
      <c r="I32" s="371"/>
      <c r="J32" s="371"/>
      <c r="K32" s="371"/>
      <c r="L32" s="528"/>
      <c r="M32" s="526"/>
      <c r="N32" s="527"/>
      <c r="O32" s="438"/>
      <c r="P32" s="526"/>
      <c r="Q32" s="527"/>
      <c r="R32" s="438"/>
      <c r="S32" s="438"/>
      <c r="T32" s="438"/>
      <c r="U32" s="438"/>
      <c r="V32" s="438"/>
      <c r="W32" s="438"/>
      <c r="X32" s="438"/>
      <c r="Y32" s="438"/>
      <c r="Z32" s="438"/>
      <c r="AA32" s="438"/>
      <c r="AB32" s="438"/>
      <c r="AC32" s="438"/>
      <c r="AD32" s="438"/>
      <c r="AE32" s="438"/>
    </row>
    <row r="33" spans="1:31" x14ac:dyDescent="0.25">
      <c r="A33" s="306"/>
      <c r="B33" s="166"/>
      <c r="C33" s="194" t="s">
        <v>220</v>
      </c>
      <c r="D33" s="10">
        <f>'2015ER'!AG6</f>
        <v>6.7381205742655201E-2</v>
      </c>
      <c r="E33" s="10">
        <f>'2025ER'!AG6</f>
        <v>4.4825042632683533E-2</v>
      </c>
      <c r="F33" s="381">
        <f t="shared" si="0"/>
        <v>5.6103124187669273E-2</v>
      </c>
      <c r="G33" s="43"/>
      <c r="H33" s="306"/>
      <c r="J33" s="248"/>
      <c r="K33" s="496"/>
      <c r="M33" s="496"/>
      <c r="N33" s="496"/>
    </row>
    <row r="34" spans="1:31" s="177" customFormat="1" x14ac:dyDescent="0.25">
      <c r="A34" s="306"/>
      <c r="B34" s="166"/>
      <c r="C34" s="194" t="s">
        <v>219</v>
      </c>
      <c r="D34" s="10">
        <f>'2015ER'!AG7</f>
        <v>3.0974722428626738</v>
      </c>
      <c r="E34" s="10">
        <f>'2025ER'!AG7</f>
        <v>0.6442430103564446</v>
      </c>
      <c r="F34" s="381">
        <f t="shared" si="0"/>
        <v>1.8708576266095633</v>
      </c>
      <c r="G34" s="43"/>
      <c r="H34" s="306"/>
      <c r="I34" s="496"/>
      <c r="J34" s="248"/>
      <c r="K34" s="496"/>
      <c r="L34" s="496"/>
      <c r="M34" s="496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6"/>
      <c r="Y34" s="496"/>
      <c r="Z34" s="496"/>
      <c r="AA34" s="496"/>
      <c r="AB34" s="496"/>
      <c r="AC34" s="496"/>
      <c r="AD34" s="496"/>
      <c r="AE34" s="496"/>
    </row>
    <row r="35" spans="1:31" s="177" customFormat="1" x14ac:dyDescent="0.25">
      <c r="A35" s="306"/>
      <c r="B35" s="166"/>
      <c r="C35" s="194" t="s">
        <v>218</v>
      </c>
      <c r="D35" s="10">
        <f>'2015ER'!AG8</f>
        <v>3.4133004650001109</v>
      </c>
      <c r="E35" s="10">
        <f>'2025ER'!AG8</f>
        <v>1.3347788591030429</v>
      </c>
      <c r="F35" s="381">
        <f t="shared" si="0"/>
        <v>2.3740396620515867</v>
      </c>
      <c r="G35" s="43"/>
      <c r="H35" s="306"/>
      <c r="I35" s="496"/>
      <c r="J35" s="248"/>
      <c r="K35" s="496"/>
      <c r="L35" s="496"/>
      <c r="M35" s="371"/>
      <c r="N35" s="371"/>
      <c r="O35" s="496"/>
      <c r="P35" s="496"/>
      <c r="Q35" s="496"/>
      <c r="R35" s="496"/>
      <c r="S35" s="496"/>
      <c r="T35" s="496"/>
      <c r="U35" s="496"/>
      <c r="V35" s="496"/>
      <c r="W35" s="496"/>
      <c r="X35" s="496"/>
      <c r="Y35" s="496"/>
      <c r="Z35" s="496"/>
      <c r="AA35" s="496"/>
      <c r="AB35" s="496"/>
      <c r="AC35" s="496"/>
      <c r="AD35" s="496"/>
      <c r="AE35" s="496"/>
    </row>
    <row r="36" spans="1:31" s="177" customFormat="1" x14ac:dyDescent="0.25">
      <c r="A36" s="368"/>
      <c r="B36" s="166"/>
      <c r="C36" s="193" t="s">
        <v>590</v>
      </c>
      <c r="D36" s="10">
        <f>'2015ER'!AG9</f>
        <v>6.9972905740586164E-2</v>
      </c>
      <c r="E36" s="10">
        <f>'2025ER'!AG9</f>
        <v>1.8676355513173839E-2</v>
      </c>
      <c r="F36" s="703">
        <f t="shared" si="0"/>
        <v>4.4324630626880079E-2</v>
      </c>
      <c r="G36" s="43"/>
      <c r="H36" s="368"/>
      <c r="I36" s="438"/>
      <c r="J36" s="371"/>
      <c r="K36" s="371"/>
      <c r="L36" s="496"/>
      <c r="M36" s="371"/>
      <c r="N36" s="371"/>
      <c r="O36" s="496"/>
      <c r="P36" s="496"/>
      <c r="Q36" s="496"/>
      <c r="R36" s="496"/>
      <c r="S36" s="496"/>
      <c r="T36" s="496"/>
      <c r="U36" s="496"/>
      <c r="V36" s="496"/>
      <c r="W36" s="496"/>
      <c r="X36" s="496"/>
      <c r="Y36" s="496"/>
      <c r="Z36" s="496"/>
      <c r="AA36" s="496"/>
      <c r="AB36" s="496"/>
      <c r="AC36" s="496"/>
      <c r="AD36" s="496"/>
      <c r="AE36" s="496"/>
    </row>
    <row r="37" spans="1:31" x14ac:dyDescent="0.25">
      <c r="A37" s="368"/>
      <c r="B37" s="166"/>
      <c r="C37" s="193" t="s">
        <v>591</v>
      </c>
      <c r="D37" s="10">
        <f>'2015ER'!AG10</f>
        <v>25.39188850897478</v>
      </c>
      <c r="E37" s="10">
        <f>'2025ER'!AG10</f>
        <v>5.9827421021261857</v>
      </c>
      <c r="F37" s="703">
        <f t="shared" si="0"/>
        <v>15.687315305550328</v>
      </c>
      <c r="G37" s="43"/>
      <c r="H37" s="368"/>
      <c r="I37" s="438"/>
      <c r="J37" s="248"/>
      <c r="K37" s="248"/>
    </row>
    <row r="38" spans="1:31" s="248" customFormat="1" x14ac:dyDescent="0.25">
      <c r="A38" s="306"/>
      <c r="B38" s="166"/>
      <c r="C38" s="194" t="s">
        <v>626</v>
      </c>
      <c r="D38" s="126">
        <f>'2015ER'!AV4</f>
        <v>7701.2468158869069</v>
      </c>
      <c r="E38" s="126">
        <f>'2025ER'!AV4</f>
        <v>7457.3753954897356</v>
      </c>
      <c r="F38" s="381">
        <f t="shared" si="0"/>
        <v>7579.3111056883208</v>
      </c>
      <c r="G38" s="43"/>
      <c r="H38" s="306"/>
      <c r="I38" s="532"/>
      <c r="J38" s="371"/>
    </row>
    <row r="39" spans="1:31" s="248" customFormat="1" x14ac:dyDescent="0.25">
      <c r="A39" s="306"/>
      <c r="B39" s="166"/>
      <c r="C39" s="194" t="s">
        <v>622</v>
      </c>
      <c r="D39" s="126">
        <f>'2015ER'!AV5</f>
        <v>63.977940800482273</v>
      </c>
      <c r="E39" s="126">
        <f>'2025ER'!AV5</f>
        <v>25.376077768462455</v>
      </c>
      <c r="F39" s="381">
        <f t="shared" si="0"/>
        <v>44.677009284472661</v>
      </c>
      <c r="G39" s="43"/>
      <c r="H39" s="306"/>
      <c r="I39" s="532"/>
      <c r="J39" s="531"/>
    </row>
    <row r="40" spans="1:31" s="248" customFormat="1" x14ac:dyDescent="0.25">
      <c r="A40" s="306"/>
      <c r="B40" s="171"/>
      <c r="C40" s="194" t="s">
        <v>623</v>
      </c>
      <c r="D40" s="126">
        <f>'2015ER'!AV6</f>
        <v>4.3247781712366908</v>
      </c>
      <c r="E40" s="126">
        <f>'2025ER'!AV6</f>
        <v>1.7042063606007158</v>
      </c>
      <c r="F40" s="381">
        <f t="shared" si="0"/>
        <v>3.0144922659186477</v>
      </c>
      <c r="G40" s="43"/>
      <c r="H40" s="306"/>
      <c r="I40" s="532"/>
      <c r="J40" s="531"/>
      <c r="K40" s="371"/>
    </row>
    <row r="41" spans="1:31" x14ac:dyDescent="0.25">
      <c r="A41" s="306"/>
      <c r="B41" s="171"/>
      <c r="C41" s="194" t="s">
        <v>624</v>
      </c>
      <c r="D41" s="126">
        <f>'2015ER'!AV7</f>
        <v>61.690827855331229</v>
      </c>
      <c r="E41" s="126">
        <f>'2025ER'!AV7</f>
        <v>24.28916155157938</v>
      </c>
      <c r="F41" s="381">
        <f t="shared" si="0"/>
        <v>42.989994703455523</v>
      </c>
      <c r="G41" s="43"/>
      <c r="H41" s="306"/>
      <c r="I41" s="532"/>
      <c r="J41" s="531"/>
      <c r="K41" s="248"/>
    </row>
    <row r="42" spans="1:31" s="248" customFormat="1" x14ac:dyDescent="0.25">
      <c r="A42" s="306"/>
      <c r="B42" s="171"/>
      <c r="C42" s="194" t="s">
        <v>625</v>
      </c>
      <c r="D42" s="126">
        <f>'2015ER'!AV8</f>
        <v>10.430373024743488</v>
      </c>
      <c r="E42" s="126">
        <f>'2025ER'!AV8</f>
        <v>4.4697968378830852</v>
      </c>
      <c r="F42" s="381">
        <f t="shared" si="0"/>
        <v>7.4500849313133131</v>
      </c>
      <c r="G42" s="43"/>
      <c r="H42" s="306"/>
      <c r="J42" s="531"/>
      <c r="K42" s="531"/>
    </row>
    <row r="43" spans="1:31" x14ac:dyDescent="0.25">
      <c r="A43" s="368"/>
      <c r="B43" s="724"/>
      <c r="C43" s="194" t="s">
        <v>593</v>
      </c>
      <c r="D43" s="126">
        <f>'2015ER'!AV9</f>
        <v>7.6596847381551092E-2</v>
      </c>
      <c r="E43" s="126">
        <f>'2025ER'!AV9</f>
        <v>6.3714295089789541E-2</v>
      </c>
      <c r="F43" s="703">
        <f t="shared" ref="F43:F44" si="1">TREND(D43:E43,$D$7:$E$7,$F$7)</f>
        <v>7.0155571235670511E-2</v>
      </c>
      <c r="G43" s="43"/>
      <c r="H43" s="368"/>
      <c r="I43" s="248"/>
      <c r="K43" s="531"/>
      <c r="L43" s="531"/>
    </row>
    <row r="44" spans="1:31" s="249" customFormat="1" x14ac:dyDescent="0.25">
      <c r="A44" s="368"/>
      <c r="B44" s="724"/>
      <c r="C44" s="194" t="s">
        <v>592</v>
      </c>
      <c r="D44" s="126">
        <f>'2015ER'!AV10</f>
        <v>22.994698616033428</v>
      </c>
      <c r="E44" s="126">
        <f>'2025ER'!AV10</f>
        <v>9.6956358189953917</v>
      </c>
      <c r="F44" s="703">
        <f t="shared" si="1"/>
        <v>16.345167217514245</v>
      </c>
      <c r="G44" s="43"/>
      <c r="H44" s="368"/>
      <c r="I44" s="248"/>
      <c r="J44" s="371"/>
      <c r="K44" s="531"/>
      <c r="L44" s="531"/>
      <c r="M44" s="531"/>
      <c r="N44" s="531"/>
      <c r="O44" s="531"/>
      <c r="P44" s="531"/>
      <c r="Q44" s="531"/>
      <c r="R44" s="531"/>
      <c r="S44" s="531"/>
      <c r="T44" s="531"/>
      <c r="U44" s="531"/>
      <c r="V44" s="531"/>
      <c r="W44" s="531"/>
      <c r="X44" s="531"/>
      <c r="Y44" s="531"/>
      <c r="Z44" s="531"/>
      <c r="AA44" s="531"/>
      <c r="AB44" s="531"/>
      <c r="AC44" s="531"/>
      <c r="AD44" s="531"/>
      <c r="AE44" s="531"/>
    </row>
    <row r="45" spans="1:31" s="249" customFormat="1" x14ac:dyDescent="0.25">
      <c r="A45" s="306"/>
      <c r="B45" s="171"/>
      <c r="C45" s="199"/>
      <c r="D45" s="20"/>
      <c r="E45" s="20"/>
      <c r="F45" s="20"/>
      <c r="G45" s="115"/>
      <c r="H45" s="306"/>
      <c r="I45" s="371"/>
      <c r="J45" s="371"/>
      <c r="K45" s="531"/>
      <c r="L45" s="531"/>
      <c r="M45" s="531"/>
      <c r="N45" s="531"/>
      <c r="O45" s="531"/>
      <c r="P45" s="531"/>
      <c r="Q45" s="531"/>
      <c r="R45" s="531"/>
      <c r="S45" s="531"/>
      <c r="T45" s="531"/>
      <c r="U45" s="531"/>
      <c r="V45" s="531"/>
      <c r="W45" s="531"/>
      <c r="X45" s="531"/>
      <c r="Y45" s="531"/>
      <c r="Z45" s="531"/>
      <c r="AA45" s="531"/>
      <c r="AB45" s="531"/>
      <c r="AC45" s="531"/>
      <c r="AD45" s="531"/>
      <c r="AE45" s="531"/>
    </row>
    <row r="46" spans="1:31" s="249" customFormat="1" ht="15.75" x14ac:dyDescent="0.25">
      <c r="A46" s="306"/>
      <c r="B46" s="54"/>
      <c r="C46" s="890" t="s">
        <v>317</v>
      </c>
      <c r="D46" s="890"/>
      <c r="E46" s="890"/>
      <c r="F46" s="890"/>
      <c r="G46" s="114"/>
      <c r="H46" s="306"/>
      <c r="I46" s="248"/>
      <c r="J46" s="371"/>
      <c r="K46" s="371"/>
      <c r="L46" s="531"/>
      <c r="M46" s="531"/>
      <c r="N46" s="531"/>
      <c r="O46" s="531"/>
      <c r="P46" s="531"/>
      <c r="Q46" s="531"/>
      <c r="R46" s="531"/>
      <c r="S46" s="531"/>
      <c r="T46" s="531"/>
      <c r="U46" s="531"/>
      <c r="V46" s="531"/>
      <c r="W46" s="531"/>
      <c r="X46" s="531"/>
      <c r="Y46" s="531"/>
      <c r="Z46" s="531"/>
      <c r="AA46" s="531"/>
      <c r="AB46" s="531"/>
      <c r="AC46" s="531"/>
      <c r="AD46" s="531"/>
      <c r="AE46" s="531"/>
    </row>
    <row r="47" spans="1:31" s="249" customFormat="1" ht="15.75" x14ac:dyDescent="0.25">
      <c r="A47" s="306"/>
      <c r="B47" s="171"/>
      <c r="C47" s="303" t="s">
        <v>324</v>
      </c>
      <c r="D47" s="302"/>
      <c r="E47" s="301"/>
      <c r="F47" s="303" t="s">
        <v>323</v>
      </c>
      <c r="G47" s="43"/>
      <c r="H47" s="306"/>
      <c r="I47" s="371"/>
      <c r="J47" s="371"/>
      <c r="K47" s="371"/>
      <c r="L47" s="371"/>
      <c r="M47" s="531"/>
      <c r="N47" s="531"/>
      <c r="O47" s="531"/>
      <c r="P47" s="531"/>
      <c r="Q47" s="531"/>
      <c r="R47" s="531"/>
      <c r="S47" s="531"/>
      <c r="T47" s="531"/>
      <c r="U47" s="531"/>
      <c r="V47" s="531"/>
      <c r="W47" s="531"/>
      <c r="X47" s="531"/>
      <c r="Y47" s="531"/>
      <c r="Z47" s="531"/>
      <c r="AA47" s="531"/>
      <c r="AB47" s="531"/>
      <c r="AC47" s="531"/>
      <c r="AD47" s="531"/>
      <c r="AE47" s="531"/>
    </row>
    <row r="48" spans="1:31" x14ac:dyDescent="0.25">
      <c r="A48" s="306"/>
      <c r="B48" s="1"/>
      <c r="C48" s="193" t="s">
        <v>69</v>
      </c>
      <c r="D48" s="21"/>
      <c r="E48" s="21"/>
      <c r="F48" s="240">
        <f>(INDEX(Capacity2,MATCH(F13,INDEX(Capacity2,,1),0),MATCH(F8,INDEX(Capacity2,1,),0)))*F14*F27</f>
        <v>3960.0000000000005</v>
      </c>
      <c r="G48" s="43"/>
      <c r="H48" s="306"/>
      <c r="I48" s="531"/>
    </row>
    <row r="49" spans="1:11" x14ac:dyDescent="0.25">
      <c r="A49" s="306"/>
      <c r="B49" s="2"/>
      <c r="C49" s="193" t="s">
        <v>70</v>
      </c>
      <c r="D49" s="21"/>
      <c r="E49" s="21"/>
      <c r="F49" s="240">
        <f>INDEX(Capacity2,MATCH(F18,INDEX(Capacity2,,1),0),MATCH(F8,INDEX(Capacity2,1,),0))*F19*F28</f>
        <v>1980.0000000000002</v>
      </c>
      <c r="G49" s="43"/>
      <c r="H49" s="306"/>
      <c r="I49" s="531"/>
    </row>
    <row r="50" spans="1:11" x14ac:dyDescent="0.25">
      <c r="A50" s="306"/>
      <c r="B50" s="1"/>
      <c r="C50" s="188" t="s">
        <v>78</v>
      </c>
      <c r="D50" s="32"/>
      <c r="E50" s="32"/>
      <c r="F50" s="446">
        <f>MAX(F15/F48,F20/F49)</f>
        <v>0.39520202020202017</v>
      </c>
      <c r="G50" s="65"/>
      <c r="H50" s="306"/>
      <c r="I50" s="531"/>
    </row>
    <row r="51" spans="1:11" ht="15.75" x14ac:dyDescent="0.25">
      <c r="A51" s="306"/>
      <c r="B51" s="171"/>
      <c r="C51" s="188" t="s">
        <v>79</v>
      </c>
      <c r="D51" s="21"/>
      <c r="E51" s="21"/>
      <c r="F51" s="446">
        <f>0.5*F9*(1-F29)^2/(1-(MIN(1,F50)*F29))</f>
        <v>7.1153504880212939</v>
      </c>
      <c r="G51" s="65"/>
      <c r="H51" s="306"/>
      <c r="I51" s="548"/>
    </row>
    <row r="52" spans="1:11" x14ac:dyDescent="0.25">
      <c r="A52" s="306"/>
      <c r="B52" s="65"/>
      <c r="C52" s="193" t="s">
        <v>80</v>
      </c>
      <c r="D52" s="21"/>
      <c r="E52" s="21"/>
      <c r="F52" s="446">
        <f>((F15+F20)*F10)/3600</f>
        <v>10.111111111111111</v>
      </c>
      <c r="G52" s="65"/>
      <c r="H52" s="306"/>
    </row>
    <row r="53" spans="1:11" x14ac:dyDescent="0.25">
      <c r="A53" s="306"/>
      <c r="B53" s="65"/>
      <c r="C53" s="193" t="s">
        <v>81</v>
      </c>
      <c r="D53" s="60"/>
      <c r="E53" s="60"/>
      <c r="F53" s="639">
        <f>IF(F11="",((F15+F20)*F51)/3600,((F15+F20)*F11)/3600)</f>
        <v>3.5972049689440984</v>
      </c>
      <c r="G53" s="61"/>
      <c r="H53" s="306"/>
    </row>
    <row r="54" spans="1:11" x14ac:dyDescent="0.25">
      <c r="A54" s="306"/>
      <c r="B54" s="65"/>
      <c r="C54" s="193" t="s">
        <v>418</v>
      </c>
      <c r="D54" s="21"/>
      <c r="E54" s="21"/>
      <c r="F54" s="494">
        <f>(F15*F16+F20*F21)/(F15+F20)</f>
        <v>0</v>
      </c>
      <c r="G54" s="151"/>
      <c r="H54" s="368"/>
    </row>
    <row r="55" spans="1:11" x14ac:dyDescent="0.25">
      <c r="A55" s="306"/>
      <c r="B55" s="171"/>
      <c r="C55" s="193" t="s">
        <v>204</v>
      </c>
      <c r="D55" s="21"/>
      <c r="E55" s="21"/>
      <c r="F55" s="240">
        <f t="shared" ref="F55:F60" si="2">F$25*((F$52*(1-F$54)*F31)+(F$52*F$54*F38))</f>
        <v>318434.53090496914</v>
      </c>
      <c r="G55" s="155"/>
      <c r="H55" s="306"/>
    </row>
    <row r="56" spans="1:11" x14ac:dyDescent="0.25">
      <c r="A56" s="368"/>
      <c r="B56" s="462"/>
      <c r="C56" s="193" t="s">
        <v>275</v>
      </c>
      <c r="D56" s="21"/>
      <c r="E56" s="21"/>
      <c r="F56" s="240">
        <f t="shared" si="2"/>
        <v>98.572347205338247</v>
      </c>
      <c r="G56" s="151"/>
      <c r="H56" s="306"/>
    </row>
    <row r="57" spans="1:11" x14ac:dyDescent="0.25">
      <c r="A57" s="306"/>
      <c r="B57" s="65"/>
      <c r="C57" s="193" t="s">
        <v>206</v>
      </c>
      <c r="D57" s="21"/>
      <c r="E57" s="21"/>
      <c r="F57" s="240">
        <f t="shared" si="2"/>
        <v>5.6726492234198931</v>
      </c>
      <c r="G57" s="151"/>
      <c r="H57" s="306"/>
    </row>
    <row r="58" spans="1:11" x14ac:dyDescent="0.25">
      <c r="A58" s="306"/>
      <c r="B58" s="171"/>
      <c r="C58" s="193" t="s">
        <v>276</v>
      </c>
      <c r="D58" s="21"/>
      <c r="E58" s="21"/>
      <c r="F58" s="240">
        <f t="shared" si="2"/>
        <v>189.16449335718914</v>
      </c>
      <c r="G58" s="151"/>
      <c r="H58" s="306"/>
    </row>
    <row r="59" spans="1:11" x14ac:dyDescent="0.25">
      <c r="A59" s="306"/>
      <c r="B59" s="35"/>
      <c r="C59" s="193" t="s">
        <v>205</v>
      </c>
      <c r="D59" s="21"/>
      <c r="E59" s="21"/>
      <c r="F59" s="240">
        <f t="shared" si="2"/>
        <v>240.04178805188263</v>
      </c>
      <c r="G59" s="151"/>
      <c r="H59" s="306"/>
    </row>
    <row r="60" spans="1:11" x14ac:dyDescent="0.25">
      <c r="A60" s="368"/>
      <c r="B60" s="35"/>
      <c r="C60" s="193" t="s">
        <v>594</v>
      </c>
      <c r="D60" s="21"/>
      <c r="E60" s="21"/>
      <c r="F60" s="240">
        <f t="shared" si="2"/>
        <v>4.4817126522734299</v>
      </c>
      <c r="G60" s="151"/>
      <c r="H60" s="368"/>
    </row>
    <row r="61" spans="1:11" x14ac:dyDescent="0.25">
      <c r="A61" s="368"/>
      <c r="B61" s="35"/>
      <c r="C61" s="193" t="s">
        <v>595</v>
      </c>
      <c r="D61" s="21"/>
      <c r="E61" s="21"/>
      <c r="F61" s="240">
        <f t="shared" ref="F61" si="3">F$25*((F$52*(1-F$54)*F37)+(F$52*F$54*F44))</f>
        <v>1586.1618808945332</v>
      </c>
      <c r="G61" s="151"/>
      <c r="H61" s="368"/>
      <c r="K61" s="496"/>
    </row>
    <row r="62" spans="1:11" x14ac:dyDescent="0.25">
      <c r="A62" s="306"/>
      <c r="B62" s="35"/>
      <c r="C62" s="193" t="s">
        <v>207</v>
      </c>
      <c r="D62" s="21"/>
      <c r="E62" s="21"/>
      <c r="F62" s="240">
        <f>F$25*((F$53*(1-F$54)*F31)+(F$53*F$54*F38))</f>
        <v>113288.6647438752</v>
      </c>
      <c r="G62" s="155"/>
      <c r="H62" s="306"/>
    </row>
    <row r="63" spans="1:11" x14ac:dyDescent="0.25">
      <c r="A63" s="306"/>
      <c r="B63" s="35"/>
      <c r="C63" s="193" t="s">
        <v>277</v>
      </c>
      <c r="D63" s="21"/>
      <c r="E63" s="21"/>
      <c r="F63" s="240">
        <f>F$25*((F$53*(1-F$54)*F32)+(F$53*F$54*F39))</f>
        <v>35.068839939645393</v>
      </c>
      <c r="G63" s="61"/>
      <c r="H63" s="306"/>
    </row>
    <row r="64" spans="1:11" x14ac:dyDescent="0.25">
      <c r="A64" s="306"/>
      <c r="B64" s="171"/>
      <c r="C64" s="193" t="s">
        <v>209</v>
      </c>
      <c r="D64" s="21"/>
      <c r="E64" s="21"/>
      <c r="F64" s="240">
        <f>F$25*((F$53*(1-F$54)*F33)+(F$53*F$54*F40))</f>
        <v>2.0181443710117177</v>
      </c>
      <c r="G64" s="61"/>
      <c r="H64" s="306"/>
    </row>
    <row r="65" spans="1:8" x14ac:dyDescent="0.25">
      <c r="A65" s="306"/>
      <c r="B65" s="171"/>
      <c r="C65" s="193" t="s">
        <v>278</v>
      </c>
      <c r="D65" s="21"/>
      <c r="E65" s="21"/>
      <c r="F65" s="240">
        <f>F$25*((F$53*(1-F$54)*F34)+(F$53*F$54*F41))</f>
        <v>67.298583506268841</v>
      </c>
      <c r="G65" s="61"/>
      <c r="H65" s="306"/>
    </row>
    <row r="66" spans="1:8" x14ac:dyDescent="0.25">
      <c r="A66" s="306"/>
      <c r="B66" s="171"/>
      <c r="C66" s="193" t="s">
        <v>208</v>
      </c>
      <c r="D66" s="21"/>
      <c r="E66" s="21"/>
      <c r="F66" s="240">
        <f>F$25*((F$53*(1-F$54)*F35)+(F$53*F$54*F42))</f>
        <v>85.399072688023367</v>
      </c>
      <c r="G66" s="61"/>
      <c r="H66" s="306"/>
    </row>
    <row r="67" spans="1:8" x14ac:dyDescent="0.25">
      <c r="A67" s="368"/>
      <c r="B67" s="724"/>
      <c r="C67" s="196" t="s">
        <v>596</v>
      </c>
      <c r="D67" s="21"/>
      <c r="E67" s="21"/>
      <c r="F67" s="240">
        <f t="shared" ref="F67:F68" si="4">F$25*((F$53*(1-F$54)*F36)+(F$53*F$54*F43))</f>
        <v>1.5944478153762478</v>
      </c>
      <c r="G67" s="151"/>
      <c r="H67" s="368"/>
    </row>
    <row r="68" spans="1:8" x14ac:dyDescent="0.25">
      <c r="A68" s="368"/>
      <c r="B68" s="724"/>
      <c r="C68" s="196" t="s">
        <v>597</v>
      </c>
      <c r="D68" s="21"/>
      <c r="E68" s="21"/>
      <c r="F68" s="240">
        <f t="shared" si="4"/>
        <v>564.30488566518443</v>
      </c>
      <c r="G68" s="151"/>
      <c r="H68" s="368"/>
    </row>
    <row r="69" spans="1:8" x14ac:dyDescent="0.25">
      <c r="A69" s="306"/>
      <c r="B69" s="171"/>
      <c r="C69" s="23"/>
      <c r="D69" s="44"/>
      <c r="E69" s="44"/>
      <c r="F69" s="44"/>
      <c r="G69" s="151"/>
      <c r="H69" s="306"/>
    </row>
    <row r="70" spans="1:8" ht="15.75" x14ac:dyDescent="0.25">
      <c r="A70" s="306"/>
      <c r="B70" s="171"/>
      <c r="C70" s="887" t="s">
        <v>318</v>
      </c>
      <c r="D70" s="887"/>
      <c r="E70" s="887"/>
      <c r="F70" s="887"/>
      <c r="G70" s="151"/>
      <c r="H70" s="306"/>
    </row>
    <row r="71" spans="1:8" ht="15.75" thickBot="1" x14ac:dyDescent="0.3">
      <c r="A71" s="306"/>
      <c r="B71" s="171"/>
      <c r="C71" s="304" t="s">
        <v>319</v>
      </c>
      <c r="D71" s="44"/>
      <c r="E71" s="44"/>
      <c r="F71" s="44"/>
      <c r="G71" s="61"/>
      <c r="H71" s="306"/>
    </row>
    <row r="72" spans="1:8" x14ac:dyDescent="0.25">
      <c r="A72" s="306"/>
      <c r="B72" s="171"/>
      <c r="C72" s="230" t="s">
        <v>116</v>
      </c>
      <c r="D72" s="647"/>
      <c r="E72" s="648"/>
      <c r="F72" s="491">
        <f>(F52*F25*F26)-(F53*F25*F26)</f>
        <v>16284.76535541753</v>
      </c>
      <c r="G72" s="127"/>
      <c r="H72" s="306"/>
    </row>
    <row r="73" spans="1:8" ht="15.75" thickBot="1" x14ac:dyDescent="0.3">
      <c r="A73" s="306"/>
      <c r="B73" s="171"/>
      <c r="C73" s="254" t="s">
        <v>49</v>
      </c>
      <c r="D73" s="487"/>
      <c r="E73" s="649"/>
      <c r="F73" s="486" t="s">
        <v>187</v>
      </c>
      <c r="G73" s="127"/>
      <c r="H73" s="368"/>
    </row>
    <row r="74" spans="1:8" x14ac:dyDescent="0.25">
      <c r="A74" s="306"/>
      <c r="B74" s="171"/>
      <c r="C74" s="267"/>
      <c r="D74" s="307"/>
      <c r="E74" s="276"/>
      <c r="F74" s="276"/>
      <c r="G74" s="127"/>
      <c r="H74" s="306"/>
    </row>
    <row r="75" spans="1:8" ht="15.75" thickBot="1" x14ac:dyDescent="0.3">
      <c r="A75" s="368"/>
      <c r="B75" s="724"/>
      <c r="C75" s="778" t="s">
        <v>329</v>
      </c>
      <c r="D75" s="44"/>
      <c r="E75" s="44"/>
      <c r="F75" s="44"/>
      <c r="G75" s="777"/>
      <c r="H75" s="368"/>
    </row>
    <row r="76" spans="1:8" x14ac:dyDescent="0.25">
      <c r="A76" s="368"/>
      <c r="B76" s="724"/>
      <c r="C76" s="850" t="s">
        <v>701</v>
      </c>
      <c r="D76" s="794"/>
      <c r="E76" s="794"/>
      <c r="F76" s="865">
        <f t="shared" ref="F76:F82" si="5">((F55-F62)*F$26)/1000</f>
        <v>51286.466540273483</v>
      </c>
      <c r="G76" s="777"/>
      <c r="H76" s="368"/>
    </row>
    <row r="77" spans="1:8" x14ac:dyDescent="0.25">
      <c r="A77" s="368"/>
      <c r="B77" s="2"/>
      <c r="C77" s="851" t="s">
        <v>702</v>
      </c>
      <c r="D77" s="781"/>
      <c r="E77" s="781"/>
      <c r="F77" s="866">
        <f t="shared" si="5"/>
        <v>15.875876816423213</v>
      </c>
      <c r="G77" s="777"/>
      <c r="H77" s="368"/>
    </row>
    <row r="78" spans="1:8" x14ac:dyDescent="0.25">
      <c r="A78" s="368"/>
      <c r="B78" s="2"/>
      <c r="C78" s="851" t="s">
        <v>703</v>
      </c>
      <c r="D78" s="781"/>
      <c r="E78" s="781"/>
      <c r="F78" s="866">
        <f t="shared" si="5"/>
        <v>0.91362621310204384</v>
      </c>
      <c r="G78" s="777"/>
      <c r="H78" s="368"/>
    </row>
    <row r="79" spans="1:8" x14ac:dyDescent="0.25">
      <c r="A79" s="368"/>
      <c r="B79" s="2"/>
      <c r="C79" s="869" t="s">
        <v>704</v>
      </c>
      <c r="D79" s="780"/>
      <c r="E79" s="780"/>
      <c r="F79" s="867">
        <f t="shared" si="5"/>
        <v>30.466477462730076</v>
      </c>
      <c r="G79" s="777"/>
      <c r="H79" s="368"/>
    </row>
    <row r="80" spans="1:8" x14ac:dyDescent="0.25">
      <c r="A80" s="368"/>
      <c r="B80" s="2"/>
      <c r="C80" s="869" t="s">
        <v>705</v>
      </c>
      <c r="D80" s="780"/>
      <c r="E80" s="780"/>
      <c r="F80" s="867">
        <f t="shared" si="5"/>
        <v>38.66067884096482</v>
      </c>
      <c r="G80" s="777"/>
      <c r="H80" s="368"/>
    </row>
    <row r="81" spans="1:8" x14ac:dyDescent="0.25">
      <c r="A81" s="368"/>
      <c r="B81" s="2"/>
      <c r="C81" s="869" t="s">
        <v>706</v>
      </c>
      <c r="D81" s="780"/>
      <c r="E81" s="780"/>
      <c r="F81" s="867">
        <f t="shared" si="5"/>
        <v>0.72181620922429546</v>
      </c>
      <c r="G81" s="777"/>
      <c r="H81" s="368"/>
    </row>
    <row r="82" spans="1:8" ht="15.75" thickBot="1" x14ac:dyDescent="0.3">
      <c r="A82" s="368"/>
      <c r="B82" s="2"/>
      <c r="C82" s="870" t="s">
        <v>707</v>
      </c>
      <c r="D82" s="789"/>
      <c r="E82" s="789"/>
      <c r="F82" s="868">
        <f t="shared" si="5"/>
        <v>255.46424880733719</v>
      </c>
      <c r="G82" s="777"/>
      <c r="H82" s="368"/>
    </row>
    <row r="83" spans="1:8" x14ac:dyDescent="0.25">
      <c r="A83" s="368"/>
      <c r="B83" s="2"/>
      <c r="C83" s="871" t="s">
        <v>708</v>
      </c>
      <c r="D83" s="800"/>
      <c r="E83" s="800"/>
      <c r="F83" s="857">
        <f>(F76)/$F$26</f>
        <v>205.14586616109392</v>
      </c>
      <c r="G83" s="777"/>
      <c r="H83" s="368"/>
    </row>
    <row r="84" spans="1:8" x14ac:dyDescent="0.25">
      <c r="A84" s="368"/>
      <c r="B84" s="2"/>
      <c r="C84" s="872" t="s">
        <v>709</v>
      </c>
      <c r="D84" s="780"/>
      <c r="E84" s="780"/>
      <c r="F84" s="862">
        <f t="shared" ref="F84:F89" si="6">(F77)/$F$26</f>
        <v>6.3503507265692857E-2</v>
      </c>
      <c r="G84" s="777"/>
      <c r="H84" s="368"/>
    </row>
    <row r="85" spans="1:8" x14ac:dyDescent="0.25">
      <c r="A85" s="368"/>
      <c r="B85" s="2"/>
      <c r="C85" s="872" t="s">
        <v>710</v>
      </c>
      <c r="D85" s="780"/>
      <c r="E85" s="780"/>
      <c r="F85" s="862">
        <f t="shared" si="6"/>
        <v>3.6545048524081756E-3</v>
      </c>
      <c r="G85" s="777"/>
      <c r="H85" s="368"/>
    </row>
    <row r="86" spans="1:8" x14ac:dyDescent="0.25">
      <c r="A86" s="368"/>
      <c r="B86" s="2"/>
      <c r="C86" s="851" t="s">
        <v>711</v>
      </c>
      <c r="D86" s="781"/>
      <c r="E86" s="781"/>
      <c r="F86" s="863">
        <f t="shared" si="6"/>
        <v>0.1218659098509203</v>
      </c>
      <c r="G86" s="777"/>
      <c r="H86" s="368"/>
    </row>
    <row r="87" spans="1:8" x14ac:dyDescent="0.25">
      <c r="A87" s="368"/>
      <c r="B87" s="2"/>
      <c r="C87" s="851" t="s">
        <v>712</v>
      </c>
      <c r="D87" s="781"/>
      <c r="E87" s="781"/>
      <c r="F87" s="863">
        <f t="shared" si="6"/>
        <v>0.15464271536385929</v>
      </c>
      <c r="G87" s="724"/>
      <c r="H87" s="368"/>
    </row>
    <row r="88" spans="1:8" x14ac:dyDescent="0.25">
      <c r="A88" s="368"/>
      <c r="B88" s="2"/>
      <c r="C88" s="869" t="s">
        <v>713</v>
      </c>
      <c r="D88" s="780"/>
      <c r="E88" s="780"/>
      <c r="F88" s="862">
        <f t="shared" si="6"/>
        <v>2.8872648368971818E-3</v>
      </c>
      <c r="G88" s="724"/>
      <c r="H88" s="368"/>
    </row>
    <row r="89" spans="1:8" ht="15.75" thickBot="1" x14ac:dyDescent="0.3">
      <c r="A89" s="368"/>
      <c r="B89" s="2"/>
      <c r="C89" s="873" t="s">
        <v>714</v>
      </c>
      <c r="D89" s="786"/>
      <c r="E89" s="786"/>
      <c r="F89" s="864">
        <f t="shared" si="6"/>
        <v>1.0218569952293488</v>
      </c>
      <c r="G89" s="724"/>
      <c r="H89" s="368"/>
    </row>
    <row r="90" spans="1:8" ht="15.75" thickBot="1" x14ac:dyDescent="0.3">
      <c r="A90" s="368"/>
      <c r="B90" s="724"/>
      <c r="C90" s="267"/>
      <c r="D90" s="307"/>
      <c r="E90" s="276"/>
      <c r="F90" s="276"/>
      <c r="G90" s="127"/>
      <c r="H90" s="368"/>
    </row>
    <row r="91" spans="1:8" x14ac:dyDescent="0.25">
      <c r="A91" s="368"/>
      <c r="B91" s="2"/>
      <c r="C91" s="850" t="s">
        <v>715</v>
      </c>
      <c r="D91" s="794"/>
      <c r="E91" s="794"/>
      <c r="F91" s="795">
        <v>539200</v>
      </c>
      <c r="G91" s="724"/>
      <c r="H91" s="368"/>
    </row>
    <row r="92" spans="1:8" x14ac:dyDescent="0.25">
      <c r="A92" s="368"/>
      <c r="B92" s="2"/>
      <c r="C92" s="869" t="s">
        <v>716</v>
      </c>
      <c r="D92" s="780"/>
      <c r="E92" s="780"/>
      <c r="F92" s="796">
        <v>20</v>
      </c>
      <c r="G92" s="724"/>
      <c r="H92" s="368"/>
    </row>
    <row r="93" spans="1:8" x14ac:dyDescent="0.25">
      <c r="A93" s="368"/>
      <c r="B93" s="2"/>
      <c r="C93" s="851" t="s">
        <v>717</v>
      </c>
      <c r="D93" s="781"/>
      <c r="E93" s="781"/>
      <c r="F93" s="797">
        <f>(F$91/F$92)/F77</f>
        <v>1698.1739220923237</v>
      </c>
      <c r="G93" s="724"/>
      <c r="H93" s="368"/>
    </row>
    <row r="94" spans="1:8" x14ac:dyDescent="0.25">
      <c r="A94" s="368"/>
      <c r="B94" s="2"/>
      <c r="C94" s="851" t="s">
        <v>718</v>
      </c>
      <c r="D94" s="781"/>
      <c r="E94" s="781"/>
      <c r="F94" s="797">
        <f>(F$91/F$92)/F78</f>
        <v>29508.785555158771</v>
      </c>
      <c r="G94" s="724"/>
      <c r="H94" s="368"/>
    </row>
    <row r="95" spans="1:8" x14ac:dyDescent="0.25">
      <c r="A95" s="368"/>
      <c r="B95" s="2"/>
      <c r="C95" s="851" t="s">
        <v>719</v>
      </c>
      <c r="D95" s="781"/>
      <c r="E95" s="781"/>
      <c r="F95" s="797">
        <f>((F$91/F$92)/F$26)/F86</f>
        <v>884.90702717373279</v>
      </c>
      <c r="G95" s="724"/>
      <c r="H95" s="368"/>
    </row>
    <row r="96" spans="1:8" x14ac:dyDescent="0.25">
      <c r="A96" s="368"/>
      <c r="B96" s="2"/>
      <c r="C96" s="851" t="s">
        <v>720</v>
      </c>
      <c r="D96" s="781"/>
      <c r="E96" s="781"/>
      <c r="F96" s="797">
        <f>((F$91/F$92)/F$26)/F87</f>
        <v>697.34936913299123</v>
      </c>
      <c r="G96" s="724"/>
      <c r="H96" s="368"/>
    </row>
    <row r="97" spans="1:8" ht="15.75" thickBot="1" x14ac:dyDescent="0.3">
      <c r="A97" s="368"/>
      <c r="B97" s="2"/>
      <c r="C97" s="873" t="s">
        <v>721</v>
      </c>
      <c r="D97" s="786"/>
      <c r="E97" s="786"/>
      <c r="F97" s="809">
        <f>((F$91/F$92)/F$26)/F89</f>
        <v>105.53335789984591</v>
      </c>
      <c r="G97" s="724"/>
      <c r="H97" s="368"/>
    </row>
    <row r="98" spans="1:8" x14ac:dyDescent="0.25">
      <c r="A98" s="368"/>
      <c r="B98" s="724"/>
      <c r="C98" s="267"/>
      <c r="D98" s="307"/>
      <c r="E98" s="276"/>
      <c r="F98" s="276"/>
      <c r="G98" s="127"/>
      <c r="H98" s="368"/>
    </row>
    <row r="99" spans="1:8" x14ac:dyDescent="0.25">
      <c r="A99" s="368"/>
      <c r="B99" s="368"/>
      <c r="C99" s="368"/>
      <c r="D99" s="368"/>
      <c r="E99" s="368"/>
      <c r="F99" s="368"/>
      <c r="G99" s="368"/>
      <c r="H99" s="368"/>
    </row>
  </sheetData>
  <mergeCells count="5">
    <mergeCell ref="C70:F70"/>
    <mergeCell ref="C3:F3"/>
    <mergeCell ref="C5:F5"/>
    <mergeCell ref="C23:F23"/>
    <mergeCell ref="C46:F46"/>
  </mergeCells>
  <dataValidations count="2">
    <dataValidation type="list" allowBlank="1" showInputMessage="1" showErrorMessage="1" sqref="D12:E12">
      <formula1>$C$16:$I$16</formula1>
    </dataValidation>
    <dataValidation type="list" allowBlank="1" showInputMessage="1" showErrorMessage="1" sqref="F12">
      <formula1>$C$16:$G$16</formula1>
    </dataValidation>
  </dataValidations>
  <printOptions headings="1" gridLines="1"/>
  <pageMargins left="0.7" right="0.7" top="0.75" bottom="0.75" header="0.3" footer="0.3"/>
  <pageSetup paperSize="17" scale="75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OtherVariables!$C$12:$I$12</xm:f>
          </x14:formula1>
          <xm:sqref>D8:E8</xm:sqref>
        </x14:dataValidation>
        <x14:dataValidation type="list" allowBlank="1" showInputMessage="1" showErrorMessage="1">
          <x14:formula1>
            <xm:f>OtherVariables!$C$12:$G$12</xm:f>
          </x14:formula1>
          <xm:sqref>F8</xm:sqref>
        </x14:dataValidation>
        <x14:dataValidation type="list" allowBlank="1" showInputMessage="1" showErrorMessage="1">
          <x14:formula1>
            <xm:f>OtherVariables!$P$24:$P$34</xm:f>
          </x14:formula1>
          <xm:sqref>F7</xm:sqref>
        </x14:dataValidation>
        <x14:dataValidation type="list" allowBlank="1" showInputMessage="1" showErrorMessage="1">
          <x14:formula1>
            <xm:f>OtherVariables!$I$14:$I$20</xm:f>
          </x14:formula1>
          <xm:sqref>F18 F13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E91"/>
  <sheetViews>
    <sheetView showGridLines="0" topLeftCell="A68" zoomScale="85" zoomScaleNormal="85" workbookViewId="0">
      <selection activeCell="H89" sqref="A1:H89"/>
    </sheetView>
  </sheetViews>
  <sheetFormatPr defaultRowHeight="15" x14ac:dyDescent="0.25"/>
  <cols>
    <col min="1" max="1" width="2.42578125" style="165" customWidth="1"/>
    <col min="2" max="2" width="1.85546875" style="165" customWidth="1"/>
    <col min="3" max="3" width="80.42578125" style="165" customWidth="1"/>
    <col min="4" max="4" width="18.28515625" style="165" customWidth="1"/>
    <col min="5" max="5" width="19.28515625" style="249" customWidth="1"/>
    <col min="6" max="6" width="25.5703125" style="249" customWidth="1"/>
    <col min="7" max="7" width="1.7109375" style="165" customWidth="1"/>
    <col min="8" max="8" width="2.28515625" style="165" customWidth="1"/>
    <col min="9" max="9" width="21.7109375" style="165" customWidth="1"/>
    <col min="10" max="11" width="9.140625" style="165"/>
    <col min="12" max="12" width="9.140625" style="165" customWidth="1"/>
    <col min="13" max="13" width="42.42578125" style="165" bestFit="1" customWidth="1"/>
    <col min="14" max="16384" width="9.140625" style="165"/>
  </cols>
  <sheetData>
    <row r="1" spans="1:24" x14ac:dyDescent="0.25">
      <c r="A1" s="272"/>
      <c r="B1" s="272"/>
      <c r="C1" s="272"/>
      <c r="D1" s="272"/>
      <c r="E1" s="272"/>
      <c r="F1" s="272"/>
      <c r="G1" s="272"/>
      <c r="H1" s="272"/>
    </row>
    <row r="2" spans="1:24" x14ac:dyDescent="0.25">
      <c r="A2" s="272"/>
      <c r="B2" s="271"/>
      <c r="C2" s="271"/>
      <c r="D2" s="271"/>
      <c r="E2" s="271"/>
      <c r="F2" s="271"/>
      <c r="G2" s="271"/>
      <c r="H2" s="272"/>
    </row>
    <row r="3" spans="1:24" ht="26.25" x14ac:dyDescent="0.25">
      <c r="A3" s="274"/>
      <c r="B3" s="171"/>
      <c r="C3" s="889" t="s">
        <v>183</v>
      </c>
      <c r="D3" s="889"/>
      <c r="E3" s="889"/>
      <c r="F3" s="889"/>
      <c r="G3" s="198"/>
      <c r="H3" s="274"/>
      <c r="J3" s="247"/>
      <c r="X3" s="206">
        <v>2011</v>
      </c>
    </row>
    <row r="4" spans="1:24" s="255" customFormat="1" ht="14.25" customHeight="1" x14ac:dyDescent="0.25">
      <c r="A4" s="243"/>
      <c r="B4" s="133"/>
      <c r="C4" s="133"/>
      <c r="D4" s="133"/>
      <c r="E4" s="251"/>
      <c r="F4" s="251"/>
      <c r="G4" s="198"/>
      <c r="H4" s="243"/>
      <c r="X4" s="266">
        <v>2012</v>
      </c>
    </row>
    <row r="5" spans="1:24" s="257" customFormat="1" ht="15" customHeight="1" x14ac:dyDescent="0.25">
      <c r="A5" s="274"/>
      <c r="B5" s="171"/>
      <c r="C5" s="913" t="s">
        <v>321</v>
      </c>
      <c r="D5" s="913"/>
      <c r="E5" s="913"/>
      <c r="F5" s="913"/>
      <c r="G5" s="198"/>
      <c r="H5" s="274"/>
      <c r="I5" s="165"/>
      <c r="X5" s="206">
        <v>2013</v>
      </c>
    </row>
    <row r="6" spans="1:24" s="257" customFormat="1" ht="15.75" x14ac:dyDescent="0.25">
      <c r="A6" s="274"/>
      <c r="B6" s="171"/>
      <c r="C6" s="280" t="s">
        <v>324</v>
      </c>
      <c r="D6" s="278"/>
      <c r="E6" s="277"/>
      <c r="F6" s="280" t="s">
        <v>326</v>
      </c>
      <c r="G6"/>
      <c r="H6" s="274"/>
      <c r="I6" s="165"/>
      <c r="L6" s="246"/>
      <c r="M6" s="246"/>
      <c r="X6" s="206">
        <v>2014</v>
      </c>
    </row>
    <row r="7" spans="1:24" s="257" customFormat="1" x14ac:dyDescent="0.25">
      <c r="A7" s="274"/>
      <c r="B7" s="166"/>
      <c r="C7" s="227" t="s">
        <v>120</v>
      </c>
      <c r="D7" s="50">
        <v>2015</v>
      </c>
      <c r="E7" s="50">
        <v>2025</v>
      </c>
      <c r="F7" s="50">
        <v>2020</v>
      </c>
      <c r="G7" s="5"/>
      <c r="H7" s="274"/>
      <c r="I7" s="165"/>
      <c r="L7" s="246"/>
      <c r="M7" s="246"/>
      <c r="X7" s="206">
        <v>2015</v>
      </c>
    </row>
    <row r="8" spans="1:24" s="257" customFormat="1" x14ac:dyDescent="0.25">
      <c r="A8" s="274"/>
      <c r="B8" s="166"/>
      <c r="C8" s="290" t="s">
        <v>117</v>
      </c>
      <c r="D8" s="50"/>
      <c r="E8" s="50"/>
      <c r="F8" s="50" t="s">
        <v>96</v>
      </c>
      <c r="G8" s="48"/>
      <c r="H8" s="274"/>
      <c r="I8" s="165"/>
      <c r="K8" s="246"/>
      <c r="L8" s="246"/>
      <c r="M8" s="246"/>
      <c r="N8" s="165"/>
      <c r="X8" s="206">
        <v>2016</v>
      </c>
    </row>
    <row r="9" spans="1:24" s="257" customFormat="1" x14ac:dyDescent="0.25">
      <c r="A9" s="274"/>
      <c r="B9" s="166"/>
      <c r="C9" s="228" t="s">
        <v>119</v>
      </c>
      <c r="D9" s="51"/>
      <c r="E9" s="51"/>
      <c r="F9" s="51">
        <v>100</v>
      </c>
      <c r="G9" s="48"/>
      <c r="H9" s="274"/>
      <c r="K9" s="246"/>
      <c r="L9" s="246"/>
      <c r="M9" s="246"/>
      <c r="X9" s="206">
        <v>2017</v>
      </c>
    </row>
    <row r="10" spans="1:24" s="257" customFormat="1" x14ac:dyDescent="0.25">
      <c r="A10" s="274"/>
      <c r="B10" s="166"/>
      <c r="C10" s="228" t="s">
        <v>98</v>
      </c>
      <c r="D10" s="51"/>
      <c r="E10" s="51"/>
      <c r="F10" s="51">
        <v>1</v>
      </c>
      <c r="G10" s="48"/>
      <c r="H10" s="274"/>
      <c r="K10" s="246"/>
      <c r="L10" s="246"/>
      <c r="M10" s="246"/>
      <c r="X10" s="206">
        <v>2018</v>
      </c>
    </row>
    <row r="11" spans="1:24" s="257" customFormat="1" x14ac:dyDescent="0.25">
      <c r="A11" s="274"/>
      <c r="B11" s="166"/>
      <c r="C11" s="228" t="s">
        <v>100</v>
      </c>
      <c r="D11" s="58"/>
      <c r="E11" s="58"/>
      <c r="F11" s="58">
        <v>0.05</v>
      </c>
      <c r="G11" s="48"/>
      <c r="H11" s="274"/>
      <c r="K11" s="246"/>
      <c r="L11" s="246"/>
      <c r="M11" s="246"/>
      <c r="X11" s="206">
        <v>2019</v>
      </c>
    </row>
    <row r="12" spans="1:24" s="257" customFormat="1" x14ac:dyDescent="0.25">
      <c r="A12" s="279"/>
      <c r="B12" s="166"/>
      <c r="C12" s="225"/>
      <c r="D12" s="270"/>
      <c r="E12" s="270"/>
      <c r="F12" s="270"/>
      <c r="G12" s="62"/>
      <c r="H12" s="279"/>
      <c r="K12" s="246"/>
      <c r="L12" s="246"/>
      <c r="M12" s="246"/>
    </row>
    <row r="13" spans="1:24" s="257" customFormat="1" ht="15.75" x14ac:dyDescent="0.25">
      <c r="A13" s="274"/>
      <c r="B13" s="166"/>
      <c r="C13" s="890" t="s">
        <v>320</v>
      </c>
      <c r="D13" s="890"/>
      <c r="E13" s="890"/>
      <c r="F13" s="890"/>
      <c r="G13" s="62"/>
      <c r="H13" s="274"/>
      <c r="K13" s="246"/>
      <c r="L13" s="246"/>
      <c r="M13" s="246"/>
    </row>
    <row r="14" spans="1:24" s="257" customFormat="1" x14ac:dyDescent="0.25">
      <c r="A14" s="274"/>
      <c r="B14" s="166"/>
      <c r="C14" s="282" t="s">
        <v>1</v>
      </c>
      <c r="D14" s="283">
        <f>D7</f>
        <v>2015</v>
      </c>
      <c r="E14" s="283">
        <f>E7</f>
        <v>2025</v>
      </c>
      <c r="F14" s="294"/>
      <c r="G14" s="62"/>
      <c r="H14" s="274"/>
      <c r="I14" s="252"/>
      <c r="K14" s="246"/>
      <c r="L14" s="246"/>
      <c r="M14" s="246"/>
      <c r="N14" s="165"/>
    </row>
    <row r="15" spans="1:24" s="257" customFormat="1" x14ac:dyDescent="0.25">
      <c r="A15" s="274"/>
      <c r="B15" s="166"/>
      <c r="C15" s="196" t="s">
        <v>65</v>
      </c>
      <c r="D15" s="16"/>
      <c r="E15" s="16"/>
      <c r="F15" s="441">
        <v>10</v>
      </c>
      <c r="G15" s="35"/>
      <c r="H15" s="274"/>
      <c r="I15" s="235"/>
      <c r="K15" s="246"/>
      <c r="L15" s="246"/>
      <c r="M15" s="246"/>
    </row>
    <row r="16" spans="1:24" s="257" customFormat="1" x14ac:dyDescent="0.25">
      <c r="A16" s="274"/>
      <c r="B16" s="166"/>
      <c r="C16" s="196" t="s">
        <v>66</v>
      </c>
      <c r="D16" s="16"/>
      <c r="E16" s="16"/>
      <c r="F16" s="441">
        <v>250</v>
      </c>
      <c r="G16" s="35"/>
      <c r="H16" s="274"/>
      <c r="I16" s="232"/>
      <c r="K16" s="246"/>
      <c r="L16" s="246"/>
      <c r="M16" s="246"/>
    </row>
    <row r="17" spans="1:15" s="257" customFormat="1" x14ac:dyDescent="0.25">
      <c r="A17" s="274"/>
      <c r="B17" s="166"/>
      <c r="C17" s="228" t="s">
        <v>184</v>
      </c>
      <c r="D17" s="16"/>
      <c r="E17" s="16"/>
      <c r="F17" s="441">
        <v>400</v>
      </c>
      <c r="G17" s="48"/>
      <c r="H17" s="274"/>
      <c r="K17" s="246"/>
      <c r="L17" s="246"/>
      <c r="M17" s="246"/>
    </row>
    <row r="18" spans="1:15" s="257" customFormat="1" x14ac:dyDescent="0.25">
      <c r="A18" s="274"/>
      <c r="B18" s="166"/>
      <c r="C18" s="196" t="s">
        <v>77</v>
      </c>
      <c r="D18" s="16"/>
      <c r="E18" s="16"/>
      <c r="F18" s="441">
        <v>0.5</v>
      </c>
      <c r="G18" s="35"/>
      <c r="H18" s="274"/>
      <c r="I18" s="235"/>
      <c r="K18" s="165"/>
      <c r="M18" s="246"/>
      <c r="N18" s="246"/>
      <c r="O18" s="246"/>
    </row>
    <row r="19" spans="1:15" s="257" customFormat="1" x14ac:dyDescent="0.25">
      <c r="A19" s="274"/>
      <c r="B19" s="166"/>
      <c r="C19" s="196" t="s">
        <v>101</v>
      </c>
      <c r="D19" s="16"/>
      <c r="E19" s="16"/>
      <c r="F19" s="441">
        <v>1700</v>
      </c>
      <c r="G19" s="35"/>
      <c r="H19" s="274"/>
      <c r="I19" s="235"/>
    </row>
    <row r="20" spans="1:15" s="257" customFormat="1" x14ac:dyDescent="0.25">
      <c r="A20" s="274"/>
      <c r="B20" s="166"/>
      <c r="C20" s="196" t="s">
        <v>103</v>
      </c>
      <c r="D20" s="16"/>
      <c r="E20" s="16"/>
      <c r="F20" s="441">
        <f>IF(F8="left",0.95,0.85)</f>
        <v>0.95</v>
      </c>
      <c r="G20" s="35"/>
      <c r="H20" s="274"/>
      <c r="I20" s="235"/>
      <c r="J20" s="202"/>
      <c r="K20" s="165"/>
      <c r="M20" s="246"/>
      <c r="N20" s="246"/>
      <c r="O20" s="246"/>
    </row>
    <row r="21" spans="1:15" s="257" customFormat="1" x14ac:dyDescent="0.25">
      <c r="A21" s="274"/>
      <c r="B21" s="166"/>
      <c r="C21" s="196" t="s">
        <v>104</v>
      </c>
      <c r="D21" s="16"/>
      <c r="E21" s="16"/>
      <c r="F21" s="441">
        <v>0.9</v>
      </c>
      <c r="G21" s="35"/>
      <c r="H21" s="274"/>
      <c r="M21" s="246"/>
      <c r="N21" s="246"/>
      <c r="O21" s="246"/>
    </row>
    <row r="22" spans="1:15" s="257" customFormat="1" x14ac:dyDescent="0.25">
      <c r="A22" s="274"/>
      <c r="B22" s="166"/>
      <c r="C22" s="188" t="s">
        <v>47</v>
      </c>
      <c r="D22" s="11"/>
      <c r="E22" s="11"/>
      <c r="F22" s="442">
        <v>80</v>
      </c>
      <c r="G22" s="35"/>
      <c r="H22" s="274"/>
      <c r="I22" s="177"/>
      <c r="K22" s="246"/>
      <c r="L22" s="246"/>
      <c r="M22" s="246"/>
    </row>
    <row r="23" spans="1:15" x14ac:dyDescent="0.25">
      <c r="A23" s="274"/>
      <c r="B23" s="166"/>
      <c r="C23" s="282" t="s">
        <v>345</v>
      </c>
      <c r="D23" s="242"/>
      <c r="E23" s="242"/>
      <c r="F23" s="300">
        <f>F7</f>
        <v>2020</v>
      </c>
      <c r="G23" s="35"/>
      <c r="H23" s="274"/>
      <c r="I23" s="195"/>
      <c r="K23" s="246"/>
    </row>
    <row r="24" spans="1:15" s="257" customFormat="1" x14ac:dyDescent="0.25">
      <c r="A24" s="274"/>
      <c r="B24" s="166"/>
      <c r="C24" s="194" t="s">
        <v>621</v>
      </c>
      <c r="D24" s="10">
        <f>'2015ER'!AG4</f>
        <v>3544.7317355931123</v>
      </c>
      <c r="E24" s="10">
        <f>'2025ER'!AG4</f>
        <v>2753.9732713183676</v>
      </c>
      <c r="F24" s="381">
        <f>TREND(D24:E24,$D$7:$E$7,$F$7)</f>
        <v>3149.3525034557388</v>
      </c>
      <c r="G24" s="53"/>
      <c r="H24" s="274"/>
      <c r="I24" s="195"/>
      <c r="J24" s="165"/>
    </row>
    <row r="25" spans="1:15" s="257" customFormat="1" x14ac:dyDescent="0.25">
      <c r="A25" s="274"/>
      <c r="B25" s="166"/>
      <c r="C25" s="194" t="s">
        <v>221</v>
      </c>
      <c r="D25" s="10">
        <f>'2015ER'!AG5</f>
        <v>1.5994820236445826</v>
      </c>
      <c r="E25" s="10">
        <f>'2025ER'!AG5</f>
        <v>0.35030066832913132</v>
      </c>
      <c r="F25" s="381">
        <f t="shared" ref="F25:F35" si="0">TREND(D25:E25,$D$7:$E$7,$F$7)</f>
        <v>0.97489134598686178</v>
      </c>
      <c r="G25" s="53"/>
      <c r="H25" s="274"/>
      <c r="I25" s="165"/>
    </row>
    <row r="26" spans="1:15" s="257" customFormat="1" x14ac:dyDescent="0.25">
      <c r="A26" s="274"/>
      <c r="B26" s="171"/>
      <c r="C26" s="194" t="s">
        <v>220</v>
      </c>
      <c r="D26" s="10">
        <f>'2015ER'!AG6</f>
        <v>6.7381205742655201E-2</v>
      </c>
      <c r="E26" s="10">
        <f>'2025ER'!AG6</f>
        <v>4.4825042632683533E-2</v>
      </c>
      <c r="F26" s="381">
        <f t="shared" si="0"/>
        <v>5.6103124187669273E-2</v>
      </c>
      <c r="G26" s="31"/>
      <c r="H26" s="274"/>
      <c r="I26" s="165"/>
    </row>
    <row r="27" spans="1:15" s="244" customFormat="1" x14ac:dyDescent="0.25">
      <c r="A27" s="274"/>
      <c r="B27" s="166"/>
      <c r="C27" s="194" t="s">
        <v>219</v>
      </c>
      <c r="D27" s="10">
        <f>'2015ER'!AG7</f>
        <v>3.0974722428626738</v>
      </c>
      <c r="E27" s="10">
        <f>'2025ER'!AG7</f>
        <v>0.6442430103564446</v>
      </c>
      <c r="F27" s="381">
        <f t="shared" si="0"/>
        <v>1.8708576266095633</v>
      </c>
      <c r="G27" s="35"/>
      <c r="H27" s="274"/>
      <c r="I27" s="177"/>
      <c r="L27" s="250"/>
    </row>
    <row r="28" spans="1:15" x14ac:dyDescent="0.25">
      <c r="A28" s="274"/>
      <c r="B28" s="166"/>
      <c r="C28" s="194" t="s">
        <v>218</v>
      </c>
      <c r="D28" s="10">
        <f>'2015ER'!AG8</f>
        <v>3.4133004650001109</v>
      </c>
      <c r="E28" s="10">
        <f>'2025ER'!AG8</f>
        <v>1.3347788591030429</v>
      </c>
      <c r="F28" s="381">
        <f t="shared" si="0"/>
        <v>2.3740396620515867</v>
      </c>
      <c r="G28" s="35"/>
      <c r="H28" s="274"/>
      <c r="I28" s="177"/>
      <c r="L28" s="250"/>
    </row>
    <row r="29" spans="1:15" x14ac:dyDescent="0.25">
      <c r="A29" s="368"/>
      <c r="B29" s="166"/>
      <c r="C29" s="193" t="s">
        <v>590</v>
      </c>
      <c r="D29" s="10">
        <f>'2015ER'!AG9</f>
        <v>6.9972905740586164E-2</v>
      </c>
      <c r="E29" s="10">
        <f>'2025ER'!AG9</f>
        <v>1.8676355513173839E-2</v>
      </c>
      <c r="F29" s="703">
        <f t="shared" ref="F29:F30" si="1">TREND(D29:E29,$D$7:$E$7,$F$7)</f>
        <v>4.4324630626880079E-2</v>
      </c>
      <c r="G29" s="35"/>
      <c r="H29" s="368"/>
      <c r="I29" s="177"/>
    </row>
    <row r="30" spans="1:15" x14ac:dyDescent="0.25">
      <c r="A30" s="368"/>
      <c r="B30" s="166"/>
      <c r="C30" s="193" t="s">
        <v>591</v>
      </c>
      <c r="D30" s="10">
        <f>'2015ER'!AG10</f>
        <v>25.39188850897478</v>
      </c>
      <c r="E30" s="10">
        <f>'2025ER'!AG10</f>
        <v>5.9827421021261857</v>
      </c>
      <c r="F30" s="703">
        <f t="shared" si="1"/>
        <v>15.687315305550328</v>
      </c>
      <c r="G30" s="35"/>
      <c r="H30" s="368"/>
      <c r="I30" s="177"/>
    </row>
    <row r="31" spans="1:15" x14ac:dyDescent="0.25">
      <c r="A31" s="274"/>
      <c r="B31" s="166"/>
      <c r="C31" s="194" t="s">
        <v>626</v>
      </c>
      <c r="D31" s="126">
        <f>'2015ER'!AV4</f>
        <v>7701.2468158869069</v>
      </c>
      <c r="E31" s="126">
        <f>'2025ER'!AV4</f>
        <v>7457.3753954897356</v>
      </c>
      <c r="F31" s="381">
        <f t="shared" si="0"/>
        <v>7579.3111056883208</v>
      </c>
      <c r="G31" s="35"/>
      <c r="H31" s="274"/>
      <c r="I31" s="177"/>
    </row>
    <row r="32" spans="1:15" x14ac:dyDescent="0.25">
      <c r="A32" s="274"/>
      <c r="B32" s="54"/>
      <c r="C32" s="194" t="s">
        <v>622</v>
      </c>
      <c r="D32" s="126">
        <f>'2015ER'!AV5</f>
        <v>63.977940800482273</v>
      </c>
      <c r="E32" s="126">
        <f>'2025ER'!AV5</f>
        <v>25.376077768462455</v>
      </c>
      <c r="F32" s="381">
        <f t="shared" si="0"/>
        <v>44.677009284472661</v>
      </c>
      <c r="G32" s="35"/>
      <c r="H32" s="274"/>
      <c r="I32" s="244"/>
    </row>
    <row r="33" spans="1:11" x14ac:dyDescent="0.25">
      <c r="A33" s="274"/>
      <c r="B33" s="171"/>
      <c r="C33" s="194" t="s">
        <v>623</v>
      </c>
      <c r="D33" s="126">
        <f>'2015ER'!AV6</f>
        <v>4.3247781712366908</v>
      </c>
      <c r="E33" s="126">
        <f>'2025ER'!AV6</f>
        <v>1.7042063606007158</v>
      </c>
      <c r="F33" s="381">
        <f t="shared" si="0"/>
        <v>3.0144922659186477</v>
      </c>
      <c r="G33" s="35"/>
      <c r="H33" s="274"/>
      <c r="I33" s="244"/>
    </row>
    <row r="34" spans="1:11" s="248" customFormat="1" x14ac:dyDescent="0.25">
      <c r="A34" s="274"/>
      <c r="B34" s="171"/>
      <c r="C34" s="194" t="s">
        <v>624</v>
      </c>
      <c r="D34" s="126">
        <f>'2015ER'!AV7</f>
        <v>61.690827855331229</v>
      </c>
      <c r="E34" s="126">
        <f>'2025ER'!AV7</f>
        <v>24.28916155157938</v>
      </c>
      <c r="F34" s="381">
        <f t="shared" si="0"/>
        <v>42.989994703455523</v>
      </c>
      <c r="G34" s="35"/>
      <c r="H34" s="274"/>
      <c r="I34" s="244"/>
    </row>
    <row r="35" spans="1:11" s="248" customFormat="1" x14ac:dyDescent="0.25">
      <c r="A35" s="274"/>
      <c r="B35" s="171"/>
      <c r="C35" s="194" t="s">
        <v>625</v>
      </c>
      <c r="D35" s="126">
        <f>'2015ER'!AV8</f>
        <v>10.430373024743488</v>
      </c>
      <c r="E35" s="126">
        <f>'2025ER'!AV8</f>
        <v>4.4697968378830852</v>
      </c>
      <c r="F35" s="381">
        <f t="shared" si="0"/>
        <v>7.4500849313133131</v>
      </c>
      <c r="G35" s="35"/>
      <c r="H35" s="274"/>
      <c r="I35" s="244"/>
    </row>
    <row r="36" spans="1:11" s="248" customFormat="1" x14ac:dyDescent="0.25">
      <c r="A36" s="368"/>
      <c r="B36" s="724"/>
      <c r="C36" s="194" t="s">
        <v>593</v>
      </c>
      <c r="D36" s="126">
        <f>'2015ER'!AV9</f>
        <v>7.6596847381551092E-2</v>
      </c>
      <c r="E36" s="126">
        <f>'2025ER'!AV9</f>
        <v>6.3714295089789541E-2</v>
      </c>
      <c r="F36" s="703">
        <f t="shared" ref="F36:F37" si="2">TREND(D36:E36,$D$7:$E$7,$F$7)</f>
        <v>7.0155571235670511E-2</v>
      </c>
      <c r="G36" s="35"/>
      <c r="H36" s="368"/>
      <c r="I36" s="244"/>
    </row>
    <row r="37" spans="1:11" x14ac:dyDescent="0.25">
      <c r="A37" s="368"/>
      <c r="B37" s="724"/>
      <c r="C37" s="194" t="s">
        <v>592</v>
      </c>
      <c r="D37" s="126">
        <f>'2015ER'!AV10</f>
        <v>22.994698616033428</v>
      </c>
      <c r="E37" s="126">
        <f>'2025ER'!AV10</f>
        <v>9.6956358189953917</v>
      </c>
      <c r="F37" s="703">
        <f t="shared" si="2"/>
        <v>16.345167217514245</v>
      </c>
      <c r="G37" s="35"/>
      <c r="H37" s="368"/>
      <c r="I37" s="244"/>
      <c r="K37" s="248"/>
    </row>
    <row r="38" spans="1:11" s="248" customFormat="1" x14ac:dyDescent="0.25">
      <c r="A38" s="274"/>
      <c r="B38" s="171"/>
      <c r="C38" s="199"/>
      <c r="D38" s="20"/>
      <c r="E38" s="20"/>
      <c r="F38" s="20"/>
      <c r="G38" s="35"/>
      <c r="H38" s="274"/>
      <c r="I38" s="165"/>
    </row>
    <row r="39" spans="1:11" ht="15.75" x14ac:dyDescent="0.25">
      <c r="A39" s="274"/>
      <c r="B39" s="171"/>
      <c r="C39" s="890" t="s">
        <v>317</v>
      </c>
      <c r="D39" s="890"/>
      <c r="E39" s="890"/>
      <c r="F39" s="890"/>
      <c r="G39" s="35"/>
      <c r="H39" s="274"/>
      <c r="I39" s="248"/>
    </row>
    <row r="40" spans="1:11" ht="15.75" x14ac:dyDescent="0.25">
      <c r="A40" s="274"/>
      <c r="B40" s="171"/>
      <c r="C40" s="286" t="s">
        <v>324</v>
      </c>
      <c r="D40" s="285"/>
      <c r="E40" s="284"/>
      <c r="F40" s="286" t="s">
        <v>323</v>
      </c>
      <c r="G40" s="35"/>
      <c r="H40" s="274"/>
      <c r="I40" s="248"/>
    </row>
    <row r="41" spans="1:11" x14ac:dyDescent="0.25">
      <c r="A41" s="274"/>
      <c r="B41" s="65"/>
      <c r="C41" s="188" t="s">
        <v>107</v>
      </c>
      <c r="D41" s="21"/>
      <c r="E41" s="21"/>
      <c r="F41" s="443">
        <f>(F17/(F20*F19))*(F9/F21)</f>
        <v>27.519779841761267</v>
      </c>
      <c r="G41" s="65"/>
      <c r="H41" s="274"/>
      <c r="I41" s="248"/>
    </row>
    <row r="42" spans="1:11" x14ac:dyDescent="0.25">
      <c r="A42" s="274"/>
      <c r="B42" s="65"/>
      <c r="C42" s="188" t="s">
        <v>108</v>
      </c>
      <c r="D42" s="21"/>
      <c r="E42" s="21"/>
      <c r="F42" s="443">
        <f>0.5*F9*(1-(F41/F9))^2/(1-(MIN(1,(F41/F9))*F21))</f>
        <v>34.914454474944911</v>
      </c>
      <c r="G42" s="65"/>
      <c r="H42" s="274"/>
    </row>
    <row r="43" spans="1:11" x14ac:dyDescent="0.25">
      <c r="A43" s="274"/>
      <c r="B43" s="65"/>
      <c r="C43" s="193" t="s">
        <v>80</v>
      </c>
      <c r="D43" s="21"/>
      <c r="E43" s="21"/>
      <c r="F43" s="443">
        <f>((F17*F10)*F22)/3600</f>
        <v>8.8888888888888893</v>
      </c>
      <c r="G43" s="65"/>
      <c r="H43" s="274"/>
      <c r="I43" s="248"/>
    </row>
    <row r="44" spans="1:11" x14ac:dyDescent="0.25">
      <c r="A44" s="274"/>
      <c r="B44" s="171"/>
      <c r="C44" s="193" t="s">
        <v>81</v>
      </c>
      <c r="D44" s="21"/>
      <c r="E44" s="21"/>
      <c r="F44" s="443">
        <f>((F17*F10)*F42)/3600</f>
        <v>3.8793838305494344</v>
      </c>
      <c r="G44"/>
      <c r="H44" s="274"/>
    </row>
    <row r="45" spans="1:11" x14ac:dyDescent="0.25">
      <c r="A45" s="274"/>
      <c r="B45" s="65"/>
      <c r="C45" s="193" t="s">
        <v>204</v>
      </c>
      <c r="D45" s="21"/>
      <c r="E45" s="21"/>
      <c r="F45" s="444">
        <f>F$15*((F$43*(1-F$11)*F24)+(F$43*F$11*F31))</f>
        <v>299631.14965043269</v>
      </c>
      <c r="G45" s="65"/>
      <c r="H45" s="274"/>
    </row>
    <row r="46" spans="1:11" x14ac:dyDescent="0.25">
      <c r="A46" s="274"/>
      <c r="B46" s="171"/>
      <c r="C46" s="193" t="s">
        <v>275</v>
      </c>
      <c r="D46" s="21"/>
      <c r="E46" s="21"/>
      <c r="F46" s="444">
        <f>F$15*((F$43*(1-F$11)*F25)+(F$43*F$11*F32))</f>
        <v>280.88864381432461</v>
      </c>
      <c r="G46"/>
      <c r="H46" s="274"/>
    </row>
    <row r="47" spans="1:11" x14ac:dyDescent="0.25">
      <c r="A47" s="274"/>
      <c r="B47" s="171"/>
      <c r="C47" s="193" t="s">
        <v>206</v>
      </c>
      <c r="D47" s="21"/>
      <c r="E47" s="21"/>
      <c r="F47" s="444">
        <f>F$15*((F$43*(1-F$11)*F26)+(F$43*F$11*F33))</f>
        <v>18.135340557708286</v>
      </c>
      <c r="G47"/>
      <c r="H47" s="274"/>
    </row>
    <row r="48" spans="1:11" x14ac:dyDescent="0.25">
      <c r="A48" s="274"/>
      <c r="B48" s="171"/>
      <c r="C48" s="193" t="s">
        <v>276</v>
      </c>
      <c r="D48" s="21"/>
      <c r="E48" s="21"/>
      <c r="F48" s="444">
        <f>F$15*((F$43*(1-F$11)*F27)+(F$43*F$11*F34))</f>
        <v>349.05017604016552</v>
      </c>
      <c r="G48"/>
      <c r="H48" s="274"/>
    </row>
    <row r="49" spans="1:9" x14ac:dyDescent="0.25">
      <c r="A49" s="274"/>
      <c r="B49" s="171"/>
      <c r="C49" s="193" t="s">
        <v>205</v>
      </c>
      <c r="D49" s="21"/>
      <c r="E49" s="21"/>
      <c r="F49" s="444">
        <f>F$15*((F$43*(1-F$11)*F28)+(F$43*F$11*F35))</f>
        <v>233.5859489346376</v>
      </c>
      <c r="G49"/>
      <c r="H49" s="274"/>
    </row>
    <row r="50" spans="1:9" x14ac:dyDescent="0.25">
      <c r="A50" s="368"/>
      <c r="B50" s="724"/>
      <c r="C50" s="193" t="s">
        <v>594</v>
      </c>
      <c r="D50" s="21"/>
      <c r="E50" s="21"/>
      <c r="F50" s="444">
        <f t="shared" ref="F50:F51" si="3">F$15*((F$43*(1-F$11)*F29)+(F$43*F$11*F36))</f>
        <v>4.0547713473172982</v>
      </c>
      <c r="G50" s="724"/>
      <c r="H50" s="368"/>
    </row>
    <row r="51" spans="1:9" x14ac:dyDescent="0.25">
      <c r="A51" s="368"/>
      <c r="B51" s="724"/>
      <c r="C51" s="193" t="s">
        <v>595</v>
      </c>
      <c r="D51" s="21"/>
      <c r="E51" s="21"/>
      <c r="F51" s="444">
        <f t="shared" si="3"/>
        <v>1397.3518134354242</v>
      </c>
      <c r="G51" s="724"/>
      <c r="H51" s="368"/>
    </row>
    <row r="52" spans="1:9" x14ac:dyDescent="0.25">
      <c r="A52" s="274"/>
      <c r="B52" s="171"/>
      <c r="C52" s="193" t="s">
        <v>207</v>
      </c>
      <c r="D52" s="21"/>
      <c r="E52" s="21"/>
      <c r="F52" s="444">
        <f>F$15*((F$44*(1-F$11)*F24)+(F$44*F$11*F31))</f>
        <v>130768.22667181797</v>
      </c>
      <c r="G52"/>
      <c r="H52" s="274"/>
    </row>
    <row r="53" spans="1:9" x14ac:dyDescent="0.25">
      <c r="A53" s="274"/>
      <c r="B53" s="171"/>
      <c r="C53" s="193" t="s">
        <v>277</v>
      </c>
      <c r="D53" s="21"/>
      <c r="E53" s="21"/>
      <c r="F53" s="444">
        <f>F$15*((F$44*(1-F$11)*F25)+(F$44*F$11*F32))</f>
        <v>122.58842208730314</v>
      </c>
      <c r="G53"/>
      <c r="H53" s="274"/>
    </row>
    <row r="54" spans="1:9" x14ac:dyDescent="0.25">
      <c r="A54" s="274"/>
      <c r="B54" s="171"/>
      <c r="C54" s="193" t="s">
        <v>209</v>
      </c>
      <c r="D54" s="21"/>
      <c r="E54" s="21"/>
      <c r="F54" s="444">
        <f>F$15*((F$44*(1-F$11)*F26)+(F$44*F$11*F33))</f>
        <v>7.9148190286215989</v>
      </c>
      <c r="G54"/>
      <c r="H54" s="274"/>
    </row>
    <row r="55" spans="1:9" x14ac:dyDescent="0.25">
      <c r="A55" s="274"/>
      <c r="B55" s="171"/>
      <c r="C55" s="193" t="s">
        <v>278</v>
      </c>
      <c r="D55" s="21"/>
      <c r="E55" s="21"/>
      <c r="F55" s="444">
        <f>F$15*((F$44*(1-F$11)*F27)+(F$44*F$11*F34))</f>
        <v>152.33620601032328</v>
      </c>
      <c r="G55"/>
      <c r="H55" s="274"/>
    </row>
    <row r="56" spans="1:9" x14ac:dyDescent="0.25">
      <c r="A56" s="274"/>
      <c r="B56" s="171"/>
      <c r="C56" s="193" t="s">
        <v>208</v>
      </c>
      <c r="D56" s="21"/>
      <c r="E56" s="21"/>
      <c r="F56" s="444">
        <f>F$15*((F$44*(1-F$11)*F28)+(F$44*F$11*F35))</f>
        <v>101.94407475081512</v>
      </c>
      <c r="G56"/>
      <c r="H56" s="274"/>
    </row>
    <row r="57" spans="1:9" x14ac:dyDescent="0.25">
      <c r="A57" s="287"/>
      <c r="B57" s="724"/>
      <c r="C57" s="196" t="s">
        <v>596</v>
      </c>
      <c r="D57" s="21"/>
      <c r="E57" s="21"/>
      <c r="F57" s="444">
        <f t="shared" ref="F57:F58" si="4">F$15*((F$44*(1-F$11)*F29)+(F$44*F$11*F36))</f>
        <v>1.7696266201527604</v>
      </c>
      <c r="G57" s="724"/>
      <c r="H57" s="368"/>
    </row>
    <row r="58" spans="1:9" x14ac:dyDescent="0.25">
      <c r="A58" s="287"/>
      <c r="B58" s="724"/>
      <c r="C58" s="196" t="s">
        <v>597</v>
      </c>
      <c r="D58" s="21"/>
      <c r="E58" s="21"/>
      <c r="F58" s="444">
        <f t="shared" si="4"/>
        <v>609.8472034459104</v>
      </c>
      <c r="G58" s="724"/>
      <c r="H58" s="368"/>
    </row>
    <row r="59" spans="1:9" x14ac:dyDescent="0.25">
      <c r="A59" s="274"/>
      <c r="B59" s="171"/>
      <c r="C59" s="23"/>
      <c r="D59" s="44"/>
      <c r="E59" s="44"/>
      <c r="F59" s="44"/>
      <c r="G59" s="171"/>
      <c r="H59" s="287"/>
      <c r="I59" s="195"/>
    </row>
    <row r="60" spans="1:9" ht="15.75" x14ac:dyDescent="0.25">
      <c r="A60" s="274"/>
      <c r="B60" s="171"/>
      <c r="C60" s="887" t="s">
        <v>318</v>
      </c>
      <c r="D60" s="887"/>
      <c r="E60" s="887"/>
      <c r="F60" s="887"/>
      <c r="G60" s="171"/>
      <c r="H60" s="287"/>
    </row>
    <row r="61" spans="1:9" ht="15.75" thickBot="1" x14ac:dyDescent="0.3">
      <c r="A61" s="368"/>
      <c r="B61" s="171"/>
      <c r="C61" s="288" t="s">
        <v>319</v>
      </c>
      <c r="D61" s="288"/>
      <c r="E61" s="288"/>
      <c r="F61" s="288"/>
      <c r="G61"/>
      <c r="H61" s="274"/>
    </row>
    <row r="62" spans="1:9" x14ac:dyDescent="0.25">
      <c r="A62" s="289"/>
      <c r="B62" s="171"/>
      <c r="C62" s="230" t="s">
        <v>116</v>
      </c>
      <c r="D62" s="879"/>
      <c r="E62" s="281"/>
      <c r="F62" s="445">
        <f>(F43*F15*F16)-(F44*F15*F16)</f>
        <v>12523.762645848636</v>
      </c>
      <c r="G62"/>
      <c r="H62" s="274"/>
    </row>
    <row r="63" spans="1:9" ht="15.75" thickBot="1" x14ac:dyDescent="0.3">
      <c r="A63" s="274"/>
      <c r="B63" s="462"/>
      <c r="C63" s="254" t="s">
        <v>49</v>
      </c>
      <c r="D63" s="880"/>
      <c r="E63" s="881"/>
      <c r="F63" s="486" t="s">
        <v>187</v>
      </c>
      <c r="G63" s="462"/>
      <c r="H63" s="368"/>
    </row>
    <row r="64" spans="1:9" x14ac:dyDescent="0.25">
      <c r="A64" s="274"/>
      <c r="B64" s="171"/>
      <c r="C64" s="63"/>
      <c r="D64" s="276"/>
      <c r="E64" s="276"/>
      <c r="F64" s="281"/>
      <c r="G64" s="171"/>
      <c r="H64" s="289"/>
    </row>
    <row r="65" spans="1:8" ht="15.75" thickBot="1" x14ac:dyDescent="0.3">
      <c r="A65" s="274"/>
      <c r="B65" s="171"/>
      <c r="C65" s="778" t="s">
        <v>329</v>
      </c>
      <c r="D65" s="44"/>
      <c r="E65" s="44"/>
      <c r="F65" s="44"/>
      <c r="G65"/>
      <c r="H65" s="274"/>
    </row>
    <row r="66" spans="1:8" x14ac:dyDescent="0.25">
      <c r="A66" s="274"/>
      <c r="B66" s="2"/>
      <c r="C66" s="850" t="s">
        <v>701</v>
      </c>
      <c r="D66" s="884"/>
      <c r="E66" s="884"/>
      <c r="F66" s="827">
        <f>((F45-F52)*F$16)/1000</f>
        <v>42215.73074465368</v>
      </c>
      <c r="G66"/>
      <c r="H66" s="274"/>
    </row>
    <row r="67" spans="1:8" ht="12.75" customHeight="1" x14ac:dyDescent="0.25">
      <c r="A67" s="274"/>
      <c r="B67" s="2"/>
      <c r="C67" s="851" t="s">
        <v>702</v>
      </c>
      <c r="D67" s="883"/>
      <c r="E67" s="883"/>
      <c r="F67" s="828">
        <f t="shared" ref="F67:F72" si="5">((F46-F53)*F$16)/1000</f>
        <v>39.575055431755366</v>
      </c>
      <c r="G67"/>
      <c r="H67" s="274"/>
    </row>
    <row r="68" spans="1:8" x14ac:dyDescent="0.25">
      <c r="A68" s="274"/>
      <c r="B68" s="2"/>
      <c r="C68" s="851" t="s">
        <v>703</v>
      </c>
      <c r="D68" s="883"/>
      <c r="E68" s="883"/>
      <c r="F68" s="828">
        <f t="shared" si="5"/>
        <v>2.5551303822716718</v>
      </c>
      <c r="G68"/>
      <c r="H68" s="274"/>
    </row>
    <row r="69" spans="1:8" x14ac:dyDescent="0.25">
      <c r="A69" s="289"/>
      <c r="B69" s="2"/>
      <c r="C69" s="869" t="s">
        <v>704</v>
      </c>
      <c r="D69" s="883"/>
      <c r="E69" s="883"/>
      <c r="F69" s="829">
        <f t="shared" si="5"/>
        <v>49.178492507460561</v>
      </c>
      <c r="G69"/>
      <c r="H69" s="274"/>
    </row>
    <row r="70" spans="1:8" x14ac:dyDescent="0.25">
      <c r="A70" s="289"/>
      <c r="B70" s="2"/>
      <c r="C70" s="869" t="s">
        <v>705</v>
      </c>
      <c r="D70" s="883"/>
      <c r="E70" s="883"/>
      <c r="F70" s="829">
        <f t="shared" si="5"/>
        <v>32.910468545955624</v>
      </c>
      <c r="G70"/>
      <c r="H70" s="274"/>
    </row>
    <row r="71" spans="1:8" x14ac:dyDescent="0.25">
      <c r="A71" s="368"/>
      <c r="B71" s="2"/>
      <c r="C71" s="869" t="s">
        <v>706</v>
      </c>
      <c r="D71" s="883"/>
      <c r="E71" s="883"/>
      <c r="F71" s="829">
        <f t="shared" si="5"/>
        <v>0.57128618179113444</v>
      </c>
      <c r="G71" s="724"/>
      <c r="H71" s="368"/>
    </row>
    <row r="72" spans="1:8" ht="15.75" thickBot="1" x14ac:dyDescent="0.3">
      <c r="A72" s="368"/>
      <c r="B72" s="2"/>
      <c r="C72" s="870" t="s">
        <v>707</v>
      </c>
      <c r="D72" s="885"/>
      <c r="E72" s="885"/>
      <c r="F72" s="830">
        <f t="shared" si="5"/>
        <v>196.87615249737846</v>
      </c>
      <c r="G72" s="724"/>
      <c r="H72" s="368"/>
    </row>
    <row r="73" spans="1:8" x14ac:dyDescent="0.25">
      <c r="A73" s="289"/>
      <c r="B73" s="2"/>
      <c r="C73" s="871" t="s">
        <v>708</v>
      </c>
      <c r="D73" s="886"/>
      <c r="E73" s="886"/>
      <c r="F73" s="856">
        <f>(F66)/$F$16</f>
        <v>168.86292297861471</v>
      </c>
      <c r="G73" s="171"/>
      <c r="H73" s="289"/>
    </row>
    <row r="74" spans="1:8" x14ac:dyDescent="0.25">
      <c r="A74" s="274"/>
      <c r="B74" s="2"/>
      <c r="C74" s="872" t="s">
        <v>709</v>
      </c>
      <c r="D74" s="883"/>
      <c r="E74" s="883"/>
      <c r="F74" s="784">
        <f t="shared" ref="F74:F79" si="6">(F67)/$F$16</f>
        <v>0.15830022172702146</v>
      </c>
      <c r="G74" s="171"/>
      <c r="H74" s="289"/>
    </row>
    <row r="75" spans="1:8" x14ac:dyDescent="0.25">
      <c r="A75" s="293"/>
      <c r="B75" s="2"/>
      <c r="C75" s="872" t="s">
        <v>710</v>
      </c>
      <c r="D75" s="883"/>
      <c r="E75" s="883"/>
      <c r="F75" s="784">
        <f t="shared" si="6"/>
        <v>1.0220521529086687E-2</v>
      </c>
      <c r="G75" s="171"/>
      <c r="H75" s="289"/>
    </row>
    <row r="76" spans="1:8" x14ac:dyDescent="0.25">
      <c r="A76" s="293"/>
      <c r="B76" s="882"/>
      <c r="C76" s="851" t="s">
        <v>711</v>
      </c>
      <c r="D76" s="883"/>
      <c r="E76" s="883"/>
      <c r="F76" s="785">
        <f t="shared" si="6"/>
        <v>0.19671397002984226</v>
      </c>
      <c r="G76" s="273"/>
      <c r="H76" s="274"/>
    </row>
    <row r="77" spans="1:8" x14ac:dyDescent="0.25">
      <c r="A77" s="274"/>
      <c r="B77" s="2"/>
      <c r="C77" s="851" t="s">
        <v>712</v>
      </c>
      <c r="D77" s="883"/>
      <c r="E77" s="883"/>
      <c r="F77" s="785">
        <f t="shared" si="6"/>
        <v>0.1316418741838225</v>
      </c>
      <c r="G77"/>
      <c r="H77" s="293"/>
    </row>
    <row r="78" spans="1:8" x14ac:dyDescent="0.25">
      <c r="A78" s="368"/>
      <c r="B78" s="2"/>
      <c r="C78" s="869" t="s">
        <v>713</v>
      </c>
      <c r="D78" s="883"/>
      <c r="E78" s="883"/>
      <c r="F78" s="784">
        <f t="shared" si="6"/>
        <v>2.2851447271645376E-3</v>
      </c>
      <c r="G78" s="724"/>
      <c r="H78" s="368"/>
    </row>
    <row r="79" spans="1:8" ht="15.75" thickBot="1" x14ac:dyDescent="0.3">
      <c r="A79" s="368"/>
      <c r="B79" s="2"/>
      <c r="C79" s="873" t="s">
        <v>714</v>
      </c>
      <c r="D79" s="885"/>
      <c r="E79" s="885"/>
      <c r="F79" s="787">
        <f t="shared" si="6"/>
        <v>0.78750460998951377</v>
      </c>
      <c r="G79" s="724"/>
      <c r="H79" s="368"/>
    </row>
    <row r="80" spans="1:8" ht="16.5" thickBot="1" x14ac:dyDescent="0.35">
      <c r="A80" s="368"/>
      <c r="B80" s="171"/>
      <c r="C80" s="236"/>
      <c r="D80" s="236"/>
      <c r="E80" s="35"/>
      <c r="F80" s="591"/>
      <c r="G80"/>
      <c r="H80" s="293"/>
    </row>
    <row r="81" spans="1:31" x14ac:dyDescent="0.25">
      <c r="A81" s="368"/>
      <c r="B81" s="2"/>
      <c r="C81" s="850" t="s">
        <v>715</v>
      </c>
      <c r="D81" s="794"/>
      <c r="E81" s="794"/>
      <c r="F81" s="795">
        <v>539200</v>
      </c>
      <c r="G81" s="724"/>
      <c r="H81" s="368"/>
      <c r="I81" s="371"/>
      <c r="J81" s="371"/>
      <c r="K81" s="371"/>
      <c r="L81" s="371"/>
      <c r="M81" s="371"/>
      <c r="N81" s="371"/>
      <c r="O81" s="371"/>
      <c r="P81" s="371"/>
      <c r="Q81" s="371"/>
      <c r="R81" s="371"/>
      <c r="S81" s="371"/>
      <c r="T81" s="371"/>
      <c r="U81" s="371"/>
      <c r="V81" s="371"/>
      <c r="W81" s="371"/>
      <c r="X81" s="371"/>
      <c r="Y81" s="371"/>
      <c r="Z81" s="371"/>
      <c r="AA81" s="371"/>
      <c r="AB81" s="371"/>
      <c r="AC81" s="371"/>
      <c r="AD81" s="371"/>
      <c r="AE81" s="371"/>
    </row>
    <row r="82" spans="1:31" x14ac:dyDescent="0.25">
      <c r="A82" s="368"/>
      <c r="B82" s="2"/>
      <c r="C82" s="869" t="s">
        <v>716</v>
      </c>
      <c r="D82" s="780"/>
      <c r="E82" s="780"/>
      <c r="F82" s="796">
        <v>20</v>
      </c>
      <c r="G82" s="724"/>
      <c r="H82" s="368"/>
      <c r="I82" s="371"/>
      <c r="J82" s="371"/>
      <c r="K82" s="371"/>
      <c r="L82" s="371"/>
      <c r="M82" s="371"/>
      <c r="N82" s="371"/>
      <c r="O82" s="371"/>
      <c r="P82" s="371"/>
      <c r="Q82" s="371"/>
      <c r="R82" s="371"/>
      <c r="S82" s="371"/>
      <c r="T82" s="371"/>
      <c r="U82" s="371"/>
      <c r="V82" s="371"/>
      <c r="W82" s="371"/>
      <c r="X82" s="371"/>
      <c r="Y82" s="371"/>
      <c r="Z82" s="371"/>
      <c r="AA82" s="371"/>
      <c r="AB82" s="371"/>
      <c r="AC82" s="371"/>
      <c r="AD82" s="371"/>
      <c r="AE82" s="371"/>
    </row>
    <row r="83" spans="1:31" x14ac:dyDescent="0.25">
      <c r="A83" s="368"/>
      <c r="B83" s="2"/>
      <c r="C83" s="851" t="s">
        <v>717</v>
      </c>
      <c r="D83" s="781"/>
      <c r="E83" s="781"/>
      <c r="F83" s="797">
        <f>(F$81/F$82)/F67</f>
        <v>681.23720120849316</v>
      </c>
      <c r="G83" s="724"/>
      <c r="H83" s="368"/>
      <c r="I83" s="371"/>
      <c r="J83" s="371"/>
      <c r="K83" s="371"/>
      <c r="L83" s="371"/>
      <c r="M83" s="371"/>
      <c r="N83" s="371"/>
      <c r="O83" s="371"/>
      <c r="P83" s="371"/>
      <c r="Q83" s="371"/>
      <c r="R83" s="371"/>
      <c r="S83" s="371"/>
      <c r="T83" s="371"/>
      <c r="U83" s="371"/>
      <c r="V83" s="371"/>
      <c r="W83" s="371"/>
      <c r="X83" s="371"/>
      <c r="Y83" s="371"/>
      <c r="Z83" s="371"/>
      <c r="AA83" s="371"/>
      <c r="AB83" s="371"/>
      <c r="AC83" s="371"/>
      <c r="AD83" s="371"/>
      <c r="AE83" s="371"/>
    </row>
    <row r="84" spans="1:31" x14ac:dyDescent="0.25">
      <c r="A84" s="368"/>
      <c r="B84" s="2"/>
      <c r="C84" s="851" t="s">
        <v>718</v>
      </c>
      <c r="D84" s="781"/>
      <c r="E84" s="781"/>
      <c r="F84" s="797">
        <f>(F$81/F$82)/F68</f>
        <v>10551.320663343553</v>
      </c>
      <c r="G84" s="724"/>
      <c r="H84" s="368"/>
      <c r="I84" s="371"/>
      <c r="J84" s="371"/>
      <c r="K84" s="371"/>
      <c r="L84" s="371"/>
      <c r="M84" s="371"/>
      <c r="N84" s="371"/>
      <c r="O84" s="371"/>
      <c r="P84" s="371"/>
      <c r="Q84" s="371"/>
      <c r="R84" s="371"/>
      <c r="S84" s="371"/>
      <c r="T84" s="371"/>
      <c r="U84" s="371"/>
      <c r="V84" s="371"/>
      <c r="W84" s="371"/>
      <c r="X84" s="371"/>
      <c r="Y84" s="371"/>
      <c r="Z84" s="371"/>
      <c r="AA84" s="371"/>
      <c r="AB84" s="371"/>
      <c r="AC84" s="371"/>
      <c r="AD84" s="371"/>
      <c r="AE84" s="371"/>
    </row>
    <row r="85" spans="1:31" x14ac:dyDescent="0.25">
      <c r="A85" s="368"/>
      <c r="B85" s="2"/>
      <c r="C85" s="851" t="s">
        <v>719</v>
      </c>
      <c r="D85" s="781"/>
      <c r="E85" s="781"/>
      <c r="F85" s="797">
        <f>((F$81/F$82)/F$16)/F76</f>
        <v>548.20712521657845</v>
      </c>
      <c r="G85" s="724"/>
      <c r="H85" s="368"/>
      <c r="I85" s="371"/>
      <c r="J85" s="371"/>
      <c r="K85" s="371"/>
      <c r="L85" s="371"/>
      <c r="M85" s="371"/>
      <c r="N85" s="371"/>
      <c r="O85" s="371"/>
      <c r="P85" s="371"/>
      <c r="Q85" s="371"/>
      <c r="R85" s="371"/>
      <c r="S85" s="371"/>
      <c r="T85" s="371"/>
      <c r="U85" s="371"/>
      <c r="V85" s="371"/>
      <c r="W85" s="371"/>
      <c r="X85" s="371"/>
      <c r="Y85" s="371"/>
      <c r="Z85" s="371"/>
      <c r="AA85" s="371"/>
      <c r="AB85" s="371"/>
      <c r="AC85" s="371"/>
      <c r="AD85" s="371"/>
      <c r="AE85" s="371"/>
    </row>
    <row r="86" spans="1:31" x14ac:dyDescent="0.25">
      <c r="A86" s="368"/>
      <c r="B86" s="2"/>
      <c r="C86" s="851" t="s">
        <v>720</v>
      </c>
      <c r="D86" s="781"/>
      <c r="E86" s="781"/>
      <c r="F86" s="797">
        <f>((F$81/F$82)/F$16)/F77</f>
        <v>819.19222639913221</v>
      </c>
      <c r="G86" s="724"/>
      <c r="H86" s="368"/>
      <c r="I86" s="371"/>
      <c r="J86" s="371"/>
      <c r="K86" s="371"/>
      <c r="L86" s="371"/>
      <c r="M86" s="371"/>
      <c r="N86" s="371"/>
      <c r="O86" s="371"/>
      <c r="P86" s="371"/>
      <c r="Q86" s="371"/>
      <c r="R86" s="371"/>
      <c r="S86" s="371"/>
      <c r="T86" s="371"/>
      <c r="U86" s="371"/>
      <c r="V86" s="371"/>
      <c r="W86" s="371"/>
      <c r="X86" s="371"/>
      <c r="Y86" s="371"/>
      <c r="Z86" s="371"/>
      <c r="AA86" s="371"/>
      <c r="AB86" s="371"/>
      <c r="AC86" s="371"/>
      <c r="AD86" s="371"/>
      <c r="AE86" s="371"/>
    </row>
    <row r="87" spans="1:31" ht="15.75" thickBot="1" x14ac:dyDescent="0.3">
      <c r="A87" s="368"/>
      <c r="B87" s="2"/>
      <c r="C87" s="873" t="s">
        <v>721</v>
      </c>
      <c r="D87" s="786"/>
      <c r="E87" s="786"/>
      <c r="F87" s="809">
        <f>((F$81/F$82)/F$16)/F79</f>
        <v>136.93888090564445</v>
      </c>
      <c r="G87" s="724"/>
      <c r="H87" s="368"/>
      <c r="I87" s="371"/>
      <c r="J87" s="371"/>
      <c r="K87" s="371"/>
      <c r="L87" s="371"/>
      <c r="M87" s="371"/>
      <c r="N87" s="371"/>
      <c r="O87" s="371"/>
      <c r="P87" s="371"/>
      <c r="Q87" s="371"/>
      <c r="R87" s="371"/>
      <c r="S87" s="371"/>
      <c r="T87" s="371"/>
      <c r="U87" s="371"/>
      <c r="V87" s="371"/>
      <c r="W87" s="371"/>
      <c r="X87" s="371"/>
      <c r="Y87" s="371"/>
      <c r="Z87" s="371"/>
      <c r="AA87" s="371"/>
      <c r="AB87" s="371"/>
      <c r="AC87" s="371"/>
      <c r="AD87" s="371"/>
      <c r="AE87" s="371"/>
    </row>
    <row r="88" spans="1:31" ht="15.75" thickBot="1" x14ac:dyDescent="0.3">
      <c r="A88" s="368"/>
      <c r="B88" s="724"/>
      <c r="C88" s="798"/>
      <c r="D88" s="264"/>
      <c r="E88" s="625"/>
      <c r="F88" s="799"/>
      <c r="G88" s="724"/>
      <c r="H88" s="368"/>
      <c r="I88" s="371"/>
      <c r="J88" s="371"/>
      <c r="K88" s="371"/>
      <c r="L88" s="371"/>
      <c r="M88" s="371"/>
      <c r="N88" s="371"/>
      <c r="O88" s="371"/>
      <c r="P88" s="371"/>
      <c r="Q88" s="371"/>
      <c r="R88" s="371"/>
      <c r="S88" s="371"/>
      <c r="T88" s="371"/>
      <c r="U88" s="371"/>
      <c r="V88" s="371"/>
      <c r="W88" s="371"/>
      <c r="X88" s="371"/>
      <c r="Y88" s="371"/>
      <c r="Z88" s="371"/>
      <c r="AA88" s="371"/>
      <c r="AB88" s="371"/>
      <c r="AC88" s="371"/>
      <c r="AD88" s="371"/>
      <c r="AE88" s="371"/>
    </row>
    <row r="89" spans="1:31" x14ac:dyDescent="0.25">
      <c r="A89" s="368"/>
      <c r="B89" s="368"/>
      <c r="C89" s="368"/>
      <c r="D89" s="368"/>
      <c r="E89" s="368"/>
      <c r="F89" s="368"/>
      <c r="G89" s="368"/>
      <c r="H89" s="368"/>
      <c r="I89" s="371"/>
      <c r="J89" s="371"/>
      <c r="K89" s="371"/>
      <c r="L89" s="371"/>
      <c r="M89" s="371"/>
      <c r="N89" s="371"/>
      <c r="O89" s="371"/>
      <c r="P89" s="371"/>
      <c r="Q89" s="371"/>
      <c r="R89" s="371"/>
      <c r="S89" s="371"/>
      <c r="T89" s="371"/>
      <c r="U89" s="371"/>
      <c r="V89" s="371"/>
      <c r="W89" s="371"/>
      <c r="X89" s="371"/>
      <c r="Y89" s="371"/>
      <c r="Z89" s="371"/>
      <c r="AA89" s="371"/>
      <c r="AB89" s="371"/>
      <c r="AC89" s="371"/>
      <c r="AD89" s="371"/>
      <c r="AE89" s="371"/>
    </row>
    <row r="90" spans="1:31" x14ac:dyDescent="0.25">
      <c r="C90" s="238"/>
      <c r="D90" s="269"/>
    </row>
    <row r="91" spans="1:31" ht="16.5" x14ac:dyDescent="0.3">
      <c r="C91" s="262"/>
      <c r="D91" s="257"/>
    </row>
  </sheetData>
  <mergeCells count="5">
    <mergeCell ref="C3:F3"/>
    <mergeCell ref="C5:F5"/>
    <mergeCell ref="C13:F13"/>
    <mergeCell ref="C39:F39"/>
    <mergeCell ref="C60:F60"/>
  </mergeCells>
  <printOptions headings="1" gridLines="1"/>
  <pageMargins left="0.7" right="0.7" top="0.75" bottom="0.75" header="0.3" footer="0.3"/>
  <pageSetup paperSize="17" scale="78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OtherVariables!$G$66:$G$67</xm:f>
          </x14:formula1>
          <xm:sqref>D8:F8</xm:sqref>
        </x14:dataValidation>
        <x14:dataValidation type="list" allowBlank="1" showInputMessage="1" showErrorMessage="1">
          <x14:formula1>
            <xm:f>OtherVariables!$P$24:$P$34</xm:f>
          </x14:formula1>
          <xm:sqref>F7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E103"/>
  <sheetViews>
    <sheetView showGridLines="0" topLeftCell="A82" zoomScale="85" zoomScaleNormal="85" workbookViewId="0">
      <selection activeCell="H103" sqref="A1:H103"/>
    </sheetView>
  </sheetViews>
  <sheetFormatPr defaultRowHeight="15" x14ac:dyDescent="0.25"/>
  <cols>
    <col min="1" max="2" width="2.28515625" style="165" customWidth="1"/>
    <col min="3" max="3" width="70.42578125" style="165" customWidth="1"/>
    <col min="4" max="4" width="23" style="165" customWidth="1"/>
    <col min="5" max="5" width="27.7109375" style="249" customWidth="1"/>
    <col min="6" max="6" width="29.28515625" style="249" bestFit="1" customWidth="1"/>
    <col min="7" max="8" width="2.28515625" style="165" customWidth="1"/>
    <col min="9" max="9" width="14.7109375" style="371" customWidth="1"/>
    <col min="10" max="11" width="9.140625" style="371"/>
    <col min="12" max="12" width="9.140625" style="371" customWidth="1"/>
    <col min="13" max="13" width="42.42578125" style="371" bestFit="1" customWidth="1"/>
    <col min="14" max="24" width="9.140625" style="371"/>
    <col min="25" max="16384" width="9.140625" style="165"/>
  </cols>
  <sheetData>
    <row r="1" spans="1:25" ht="12" customHeight="1" x14ac:dyDescent="0.25">
      <c r="A1" s="170"/>
      <c r="B1" s="170"/>
      <c r="C1" s="170"/>
      <c r="D1" s="170"/>
      <c r="E1" s="170"/>
      <c r="F1" s="170"/>
      <c r="G1" s="170"/>
      <c r="H1" s="170"/>
    </row>
    <row r="2" spans="1:25" ht="12" customHeight="1" x14ac:dyDescent="0.25">
      <c r="A2" s="170"/>
      <c r="B2" s="171"/>
      <c r="C2" s="171"/>
      <c r="D2" s="171"/>
      <c r="E2" s="171"/>
      <c r="F2" s="171"/>
      <c r="G2" s="171"/>
      <c r="H2" s="170"/>
    </row>
    <row r="3" spans="1:25" ht="26.25" x14ac:dyDescent="0.25">
      <c r="A3" s="170"/>
      <c r="B3" s="171"/>
      <c r="C3" s="915" t="s">
        <v>333</v>
      </c>
      <c r="D3" s="915"/>
      <c r="E3" s="915"/>
      <c r="F3" s="915"/>
      <c r="G3" s="208"/>
      <c r="H3" s="201"/>
      <c r="I3" s="550"/>
      <c r="J3" s="551"/>
      <c r="Y3" s="206"/>
    </row>
    <row r="4" spans="1:25" ht="10.5" customHeight="1" x14ac:dyDescent="0.25">
      <c r="A4" s="170"/>
      <c r="B4" s="171"/>
      <c r="C4" s="198"/>
      <c r="D4" s="198"/>
      <c r="E4" s="198"/>
      <c r="F4" s="198"/>
      <c r="G4" s="208"/>
      <c r="H4" s="201"/>
      <c r="I4" s="550"/>
      <c r="L4" s="496"/>
      <c r="M4" s="496"/>
      <c r="Y4" s="206"/>
    </row>
    <row r="5" spans="1:25" s="257" customFormat="1" ht="15.75" x14ac:dyDescent="0.25">
      <c r="A5" s="170"/>
      <c r="B5" s="171"/>
      <c r="C5" s="914" t="s">
        <v>321</v>
      </c>
      <c r="D5" s="914"/>
      <c r="E5" s="914"/>
      <c r="F5" s="914"/>
      <c r="G5" s="49"/>
      <c r="H5" s="189"/>
      <c r="I5" s="552"/>
      <c r="J5" s="371"/>
      <c r="K5" s="371"/>
      <c r="L5" s="496"/>
      <c r="M5" s="495"/>
      <c r="N5" s="371"/>
      <c r="O5" s="371"/>
      <c r="P5" s="371"/>
      <c r="Q5" s="371"/>
      <c r="R5" s="371"/>
      <c r="S5" s="371"/>
      <c r="T5" s="371"/>
      <c r="U5" s="371"/>
      <c r="V5" s="371"/>
      <c r="W5" s="371"/>
      <c r="X5" s="371"/>
      <c r="Y5" s="206"/>
    </row>
    <row r="6" spans="1:25" s="257" customFormat="1" ht="15.75" x14ac:dyDescent="0.25">
      <c r="A6" s="215"/>
      <c r="B6" s="166"/>
      <c r="C6" s="210" t="s">
        <v>324</v>
      </c>
      <c r="D6" s="211"/>
      <c r="E6" s="211"/>
      <c r="F6" s="210" t="s">
        <v>326</v>
      </c>
      <c r="G6" s="209"/>
      <c r="H6" s="212"/>
      <c r="I6" s="258"/>
      <c r="J6" s="371"/>
      <c r="K6" s="524"/>
      <c r="L6" s="524"/>
      <c r="M6" s="496"/>
      <c r="N6" s="495"/>
      <c r="O6" s="371"/>
      <c r="P6" s="371"/>
      <c r="Q6" s="371"/>
      <c r="R6" s="371"/>
      <c r="S6" s="371"/>
      <c r="T6" s="371"/>
      <c r="U6" s="371"/>
      <c r="V6" s="371"/>
      <c r="W6" s="371"/>
      <c r="X6" s="371"/>
      <c r="Y6" s="206"/>
    </row>
    <row r="7" spans="1:25" s="257" customFormat="1" x14ac:dyDescent="0.25">
      <c r="A7" s="215"/>
      <c r="B7" s="166"/>
      <c r="C7" s="227" t="s">
        <v>331</v>
      </c>
      <c r="D7" s="203">
        <v>2015</v>
      </c>
      <c r="E7" s="203">
        <v>2025</v>
      </c>
      <c r="F7" s="203">
        <v>2020</v>
      </c>
      <c r="G7" s="5"/>
      <c r="H7" s="213"/>
      <c r="I7" s="371"/>
      <c r="J7" s="371"/>
      <c r="K7" s="524"/>
      <c r="L7" s="524"/>
      <c r="M7" s="496"/>
      <c r="N7" s="495"/>
      <c r="O7" s="371"/>
      <c r="P7" s="371"/>
      <c r="Q7" s="371"/>
      <c r="R7" s="371"/>
      <c r="S7" s="371"/>
      <c r="T7" s="371"/>
      <c r="U7" s="371"/>
      <c r="V7" s="371"/>
      <c r="W7" s="371"/>
      <c r="X7" s="371"/>
      <c r="Y7" s="206"/>
    </row>
    <row r="8" spans="1:25" s="257" customFormat="1" x14ac:dyDescent="0.25">
      <c r="A8" s="215"/>
      <c r="B8" s="166"/>
      <c r="C8" s="231" t="s">
        <v>26</v>
      </c>
      <c r="D8" s="26"/>
      <c r="E8" s="26"/>
      <c r="F8" s="653" t="s">
        <v>493</v>
      </c>
      <c r="G8" s="35"/>
      <c r="H8" s="214"/>
      <c r="I8" s="371"/>
      <c r="J8" s="371"/>
      <c r="K8" s="524"/>
      <c r="L8" s="524"/>
      <c r="M8" s="496"/>
      <c r="N8" s="495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206"/>
    </row>
    <row r="9" spans="1:25" s="257" customFormat="1" x14ac:dyDescent="0.25">
      <c r="A9" s="215"/>
      <c r="B9" s="166"/>
      <c r="C9" s="658" t="s">
        <v>118</v>
      </c>
      <c r="D9" s="51"/>
      <c r="E9" s="51"/>
      <c r="F9" s="650">
        <v>100</v>
      </c>
      <c r="G9" s="35"/>
      <c r="H9" s="214"/>
      <c r="I9" s="371"/>
      <c r="J9" s="371"/>
      <c r="K9" s="524"/>
      <c r="L9" s="524"/>
      <c r="M9" s="496"/>
      <c r="N9" s="495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206"/>
    </row>
    <row r="10" spans="1:25" s="257" customFormat="1" ht="15.75" x14ac:dyDescent="0.25">
      <c r="A10" s="215"/>
      <c r="B10" s="166"/>
      <c r="C10" s="210" t="s">
        <v>306</v>
      </c>
      <c r="D10" s="211"/>
      <c r="E10" s="211"/>
      <c r="F10" s="210"/>
      <c r="G10" s="35"/>
      <c r="H10" s="214"/>
      <c r="I10" s="371"/>
      <c r="J10" s="371"/>
      <c r="K10" s="524"/>
      <c r="L10" s="524"/>
      <c r="M10" s="496"/>
      <c r="N10" s="495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206"/>
    </row>
    <row r="11" spans="1:25" s="257" customFormat="1" x14ac:dyDescent="0.25">
      <c r="A11" s="215"/>
      <c r="B11" s="22"/>
      <c r="C11" s="205" t="s">
        <v>46</v>
      </c>
      <c r="D11" s="26"/>
      <c r="E11" s="26"/>
      <c r="F11" s="26" t="s">
        <v>507</v>
      </c>
      <c r="G11" s="35"/>
      <c r="H11" s="214"/>
      <c r="I11" s="371"/>
      <c r="J11" s="371"/>
      <c r="K11" s="524"/>
      <c r="L11" s="524"/>
      <c r="M11" s="496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206"/>
    </row>
    <row r="12" spans="1:25" s="257" customFormat="1" x14ac:dyDescent="0.25">
      <c r="A12" s="215"/>
      <c r="B12" s="22"/>
      <c r="C12" s="205" t="s">
        <v>554</v>
      </c>
      <c r="D12" s="26"/>
      <c r="E12" s="26"/>
      <c r="F12" s="64">
        <v>3</v>
      </c>
      <c r="G12" s="31"/>
      <c r="H12" s="214"/>
      <c r="I12" s="371"/>
      <c r="J12" s="371"/>
      <c r="K12" s="524"/>
      <c r="L12" s="524"/>
      <c r="M12" s="496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206"/>
    </row>
    <row r="13" spans="1:25" s="257" customFormat="1" x14ac:dyDescent="0.25">
      <c r="A13" s="215"/>
      <c r="B13" s="22"/>
      <c r="C13" s="205" t="s">
        <v>555</v>
      </c>
      <c r="D13" s="118"/>
      <c r="E13" s="118"/>
      <c r="F13" s="118">
        <v>3.5</v>
      </c>
      <c r="G13" s="31"/>
      <c r="H13" s="214"/>
      <c r="I13" s="371"/>
      <c r="J13" s="371"/>
      <c r="K13" s="524"/>
      <c r="L13" s="524"/>
      <c r="M13" s="496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206"/>
    </row>
    <row r="14" spans="1:25" s="257" customFormat="1" x14ac:dyDescent="0.25">
      <c r="A14" s="215"/>
      <c r="B14" s="22"/>
      <c r="C14" s="193" t="s">
        <v>511</v>
      </c>
      <c r="D14" s="28"/>
      <c r="E14" s="28"/>
      <c r="F14" s="28">
        <f>113+786+692</f>
        <v>1591</v>
      </c>
      <c r="G14" s="31"/>
      <c r="H14" s="214"/>
      <c r="I14" s="371"/>
      <c r="J14" s="371"/>
      <c r="K14" s="524"/>
      <c r="L14" s="524"/>
      <c r="M14" s="496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206"/>
    </row>
    <row r="15" spans="1:25" s="257" customFormat="1" x14ac:dyDescent="0.25">
      <c r="A15" s="215"/>
      <c r="B15" s="22"/>
      <c r="C15" s="188" t="s">
        <v>512</v>
      </c>
      <c r="D15" s="29"/>
      <c r="E15" s="29"/>
      <c r="F15" s="29">
        <v>0</v>
      </c>
      <c r="G15" s="31"/>
      <c r="H15" s="214"/>
      <c r="I15" s="371"/>
      <c r="J15" s="371"/>
      <c r="K15" s="524"/>
      <c r="L15" s="524"/>
      <c r="M15" s="496"/>
      <c r="N15" s="371"/>
      <c r="O15" s="371"/>
      <c r="P15" s="371"/>
      <c r="Q15" s="371"/>
      <c r="R15" s="371"/>
      <c r="S15" s="371"/>
      <c r="T15" s="371"/>
      <c r="U15" s="371"/>
      <c r="V15" s="371"/>
      <c r="W15" s="371"/>
      <c r="X15" s="371"/>
      <c r="Y15" s="206"/>
    </row>
    <row r="16" spans="1:25" s="257" customFormat="1" ht="15.75" x14ac:dyDescent="0.25">
      <c r="A16" s="215"/>
      <c r="B16" s="22"/>
      <c r="C16" s="210" t="s">
        <v>307</v>
      </c>
      <c r="D16" s="211"/>
      <c r="E16" s="211"/>
      <c r="F16" s="210"/>
      <c r="G16" s="31"/>
      <c r="H16" s="214"/>
      <c r="I16" s="371"/>
      <c r="J16" s="371"/>
      <c r="K16" s="524"/>
      <c r="L16" s="524"/>
      <c r="M16" s="496"/>
      <c r="N16" s="371"/>
      <c r="O16" s="371"/>
      <c r="P16" s="371"/>
      <c r="Q16" s="371"/>
      <c r="R16" s="371"/>
      <c r="S16" s="371"/>
      <c r="T16" s="371"/>
      <c r="U16" s="371"/>
      <c r="V16" s="371"/>
      <c r="W16" s="371"/>
      <c r="X16" s="371"/>
      <c r="Y16" s="206"/>
    </row>
    <row r="17" spans="1:25" s="257" customFormat="1" x14ac:dyDescent="0.25">
      <c r="A17" s="215"/>
      <c r="B17" s="22"/>
      <c r="C17" s="231" t="s">
        <v>46</v>
      </c>
      <c r="D17" s="26"/>
      <c r="E17" s="26"/>
      <c r="F17" s="654" t="s">
        <v>507</v>
      </c>
      <c r="G17" s="31"/>
      <c r="H17" s="214"/>
      <c r="I17" s="371"/>
      <c r="J17" s="371"/>
      <c r="K17" s="524"/>
      <c r="L17" s="524"/>
      <c r="M17" s="496"/>
      <c r="N17" s="371"/>
      <c r="O17" s="371"/>
      <c r="P17" s="371"/>
      <c r="Q17" s="371"/>
      <c r="R17" s="371"/>
      <c r="S17" s="371"/>
      <c r="T17" s="371"/>
      <c r="U17" s="371"/>
      <c r="V17" s="371"/>
      <c r="W17" s="371"/>
      <c r="X17" s="371"/>
      <c r="Y17" s="206"/>
    </row>
    <row r="18" spans="1:25" s="257" customFormat="1" x14ac:dyDescent="0.25">
      <c r="A18" s="215"/>
      <c r="B18" s="22"/>
      <c r="C18" s="231" t="s">
        <v>554</v>
      </c>
      <c r="D18" s="26"/>
      <c r="E18" s="26"/>
      <c r="F18" s="653">
        <v>1</v>
      </c>
      <c r="G18" s="31"/>
      <c r="H18" s="214"/>
      <c r="I18" s="371"/>
      <c r="J18" s="371"/>
      <c r="K18" s="524"/>
      <c r="L18" s="496"/>
      <c r="M18" s="495"/>
      <c r="N18" s="371"/>
      <c r="O18" s="371"/>
      <c r="P18" s="371"/>
      <c r="Q18" s="371"/>
      <c r="R18" s="371"/>
      <c r="S18" s="371"/>
      <c r="T18" s="371"/>
      <c r="U18" s="371"/>
      <c r="V18" s="371"/>
      <c r="W18" s="371"/>
      <c r="X18" s="371"/>
      <c r="Y18" s="206"/>
    </row>
    <row r="19" spans="1:25" s="257" customFormat="1" x14ac:dyDescent="0.25">
      <c r="A19" s="215"/>
      <c r="B19" s="22"/>
      <c r="C19" s="231" t="s">
        <v>555</v>
      </c>
      <c r="D19" s="118"/>
      <c r="E19" s="118"/>
      <c r="F19" s="655">
        <v>2.5</v>
      </c>
      <c r="G19" s="31"/>
      <c r="H19" s="214"/>
      <c r="I19" s="371"/>
      <c r="J19" s="371"/>
      <c r="K19" s="524"/>
      <c r="L19" s="496"/>
      <c r="M19" s="371"/>
      <c r="N19" s="371"/>
      <c r="O19" s="371"/>
      <c r="P19" s="371"/>
      <c r="Q19" s="371"/>
      <c r="R19" s="371"/>
      <c r="S19" s="371"/>
      <c r="T19" s="371"/>
      <c r="U19" s="371"/>
      <c r="V19" s="371"/>
      <c r="W19" s="371"/>
      <c r="X19" s="371"/>
      <c r="Y19" s="206"/>
    </row>
    <row r="20" spans="1:25" s="257" customFormat="1" x14ac:dyDescent="0.25">
      <c r="A20" s="215"/>
      <c r="B20" s="22"/>
      <c r="C20" s="616" t="s">
        <v>511</v>
      </c>
      <c r="D20" s="28"/>
      <c r="E20" s="28"/>
      <c r="F20" s="656">
        <f>240+229</f>
        <v>469</v>
      </c>
      <c r="G20" s="31"/>
      <c r="H20" s="214"/>
      <c r="I20" s="371"/>
      <c r="J20" s="371"/>
      <c r="K20" s="524"/>
      <c r="L20" s="496"/>
      <c r="M20" s="371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1"/>
      <c r="Y20" s="206"/>
    </row>
    <row r="21" spans="1:25" s="257" customFormat="1" x14ac:dyDescent="0.25">
      <c r="A21" s="215"/>
      <c r="B21" s="22"/>
      <c r="C21" s="616" t="s">
        <v>512</v>
      </c>
      <c r="D21" s="29"/>
      <c r="E21" s="29"/>
      <c r="F21" s="657">
        <v>0</v>
      </c>
      <c r="G21" s="35"/>
      <c r="H21" s="214"/>
      <c r="I21" s="371"/>
      <c r="J21" s="524"/>
      <c r="K21" s="524"/>
      <c r="L21" s="496"/>
      <c r="M21" s="371"/>
      <c r="N21" s="371"/>
      <c r="O21" s="371"/>
      <c r="P21" s="371"/>
      <c r="Q21" s="371"/>
      <c r="R21" s="371"/>
      <c r="S21" s="371"/>
      <c r="T21" s="371"/>
      <c r="U21" s="371"/>
      <c r="V21" s="371"/>
      <c r="W21" s="371"/>
      <c r="X21" s="371"/>
      <c r="Y21" s="206"/>
    </row>
    <row r="22" spans="1:25" s="257" customFormat="1" x14ac:dyDescent="0.25">
      <c r="A22" s="215"/>
      <c r="B22" s="166"/>
      <c r="C22" s="225"/>
      <c r="D22" s="226"/>
      <c r="E22" s="226"/>
      <c r="F22" s="226"/>
      <c r="G22" s="15"/>
      <c r="H22" s="170"/>
      <c r="I22" s="371"/>
      <c r="J22" s="524"/>
      <c r="K22" s="524"/>
      <c r="L22" s="496"/>
      <c r="M22" s="371"/>
      <c r="N22" s="371"/>
      <c r="O22" s="371"/>
      <c r="P22" s="371"/>
      <c r="Q22" s="371"/>
      <c r="R22" s="371"/>
      <c r="S22" s="371"/>
      <c r="T22" s="371"/>
      <c r="U22" s="371"/>
      <c r="V22" s="371"/>
      <c r="W22" s="371"/>
      <c r="X22" s="371"/>
      <c r="Y22" s="206"/>
    </row>
    <row r="23" spans="1:25" s="257" customFormat="1" ht="15.75" x14ac:dyDescent="0.25">
      <c r="A23" s="215"/>
      <c r="B23" s="166"/>
      <c r="C23" s="223" t="s">
        <v>320</v>
      </c>
      <c r="D23" s="223"/>
      <c r="E23" s="223"/>
      <c r="F23" s="223"/>
      <c r="G23" s="224"/>
      <c r="H23" s="223"/>
      <c r="I23" s="553"/>
      <c r="J23" s="524"/>
      <c r="K23" s="524"/>
      <c r="L23" s="496"/>
      <c r="M23" s="371"/>
      <c r="N23" s="371"/>
      <c r="O23" s="371"/>
      <c r="P23" s="371"/>
      <c r="Q23" s="371"/>
      <c r="R23" s="371"/>
      <c r="S23" s="371"/>
      <c r="T23" s="371"/>
      <c r="U23" s="371"/>
      <c r="V23" s="371"/>
      <c r="W23" s="371"/>
      <c r="X23" s="371"/>
      <c r="Y23" s="206"/>
    </row>
    <row r="24" spans="1:25" s="257" customFormat="1" ht="15.75" x14ac:dyDescent="0.25">
      <c r="A24" s="215"/>
      <c r="B24" s="166"/>
      <c r="C24" s="210" t="s">
        <v>1</v>
      </c>
      <c r="D24" s="211"/>
      <c r="E24" s="211"/>
      <c r="F24" s="210" t="s">
        <v>332</v>
      </c>
      <c r="G24" s="5"/>
      <c r="H24" s="216"/>
      <c r="I24" s="371"/>
      <c r="J24" s="371"/>
      <c r="K24" s="371"/>
      <c r="L24" s="524"/>
      <c r="M24" s="371"/>
      <c r="N24" s="524"/>
      <c r="O24" s="371"/>
      <c r="P24" s="371"/>
      <c r="Q24" s="371"/>
      <c r="R24" s="371"/>
      <c r="S24" s="371"/>
      <c r="T24" s="371"/>
      <c r="U24" s="371"/>
      <c r="V24" s="371"/>
      <c r="W24" s="371"/>
      <c r="X24" s="371"/>
      <c r="Y24" s="206"/>
    </row>
    <row r="25" spans="1:25" x14ac:dyDescent="0.25">
      <c r="A25" s="215"/>
      <c r="B25" s="166"/>
      <c r="C25" s="659" t="s">
        <v>65</v>
      </c>
      <c r="D25" s="16"/>
      <c r="E25" s="16"/>
      <c r="F25" s="636">
        <v>10</v>
      </c>
      <c r="G25" s="5"/>
      <c r="H25" s="217"/>
      <c r="N25" s="524"/>
      <c r="Y25" s="206"/>
    </row>
    <row r="26" spans="1:25" x14ac:dyDescent="0.25">
      <c r="A26" s="215"/>
      <c r="B26" s="166"/>
      <c r="C26" s="659" t="s">
        <v>66</v>
      </c>
      <c r="D26" s="16"/>
      <c r="E26" s="16"/>
      <c r="F26" s="636">
        <v>250</v>
      </c>
      <c r="G26" s="5"/>
      <c r="H26" s="215"/>
      <c r="M26" s="496"/>
      <c r="N26" s="524"/>
      <c r="Y26" s="206"/>
    </row>
    <row r="27" spans="1:25" x14ac:dyDescent="0.25">
      <c r="A27" s="215"/>
      <c r="B27" s="166"/>
      <c r="C27" s="659" t="s">
        <v>523</v>
      </c>
      <c r="D27" s="16"/>
      <c r="E27" s="16"/>
      <c r="F27" s="636">
        <f>VLOOKUP(F11,OtherVariables!B276:C286,2,FALSE)</f>
        <v>0.55000000000000004</v>
      </c>
      <c r="G27" s="5"/>
      <c r="H27" s="218"/>
      <c r="I27" s="525"/>
      <c r="M27" s="495"/>
      <c r="Y27" s="206"/>
    </row>
    <row r="28" spans="1:25" x14ac:dyDescent="0.25">
      <c r="A28" s="215"/>
      <c r="B28" s="166"/>
      <c r="C28" s="659" t="s">
        <v>524</v>
      </c>
      <c r="D28" s="16"/>
      <c r="E28" s="16"/>
      <c r="F28" s="636">
        <f>VLOOKUP(F17,OtherVariables!B276:C286,2,FALSE)</f>
        <v>0.55000000000000004</v>
      </c>
      <c r="G28" s="166"/>
      <c r="H28" s="218"/>
      <c r="M28" s="495"/>
      <c r="Y28" s="206"/>
    </row>
    <row r="29" spans="1:25" x14ac:dyDescent="0.25">
      <c r="A29" s="215"/>
      <c r="B29" s="166"/>
      <c r="C29" s="659" t="s">
        <v>525</v>
      </c>
      <c r="D29" s="16"/>
      <c r="E29" s="16"/>
      <c r="F29" s="636">
        <f>IF((F14/F48)&gt;(F20/F49),F27,F28)</f>
        <v>0.55000000000000004</v>
      </c>
      <c r="G29" s="166"/>
      <c r="H29" s="218"/>
      <c r="L29" s="526"/>
      <c r="M29" s="495"/>
      <c r="Y29" s="206"/>
    </row>
    <row r="30" spans="1:25" x14ac:dyDescent="0.25">
      <c r="A30" s="170"/>
      <c r="B30" s="166"/>
      <c r="C30" s="63" t="s">
        <v>2</v>
      </c>
      <c r="D30" s="242"/>
      <c r="E30" s="242"/>
      <c r="F30" s="474"/>
      <c r="G30" s="20"/>
      <c r="H30" s="218"/>
      <c r="L30" s="526"/>
      <c r="M30" s="495"/>
      <c r="O30" s="526"/>
      <c r="P30" s="527"/>
      <c r="Y30" s="206"/>
    </row>
    <row r="31" spans="1:25" s="244" customFormat="1" x14ac:dyDescent="0.25">
      <c r="A31" s="170"/>
      <c r="B31" s="171"/>
      <c r="C31" s="194" t="s">
        <v>621</v>
      </c>
      <c r="D31" s="10">
        <f>'2015ER'!AG4</f>
        <v>3544.7317355931123</v>
      </c>
      <c r="E31" s="10">
        <f>'2025ER'!AG4</f>
        <v>2753.9732713183676</v>
      </c>
      <c r="F31" s="472">
        <f>TREND(D31:E31,$D$7:$E$7,$F$7)</f>
        <v>3149.3525034557388</v>
      </c>
      <c r="G31" s="20"/>
      <c r="H31" s="170"/>
      <c r="I31" s="371"/>
      <c r="J31" s="371"/>
      <c r="K31" s="371"/>
      <c r="L31" s="526"/>
      <c r="M31" s="495"/>
      <c r="N31" s="371"/>
      <c r="O31" s="526"/>
      <c r="P31" s="527"/>
      <c r="Q31" s="438"/>
      <c r="R31" s="438"/>
      <c r="S31" s="438"/>
      <c r="T31" s="438"/>
      <c r="U31" s="438"/>
      <c r="V31" s="438"/>
      <c r="W31" s="438"/>
      <c r="X31" s="438"/>
      <c r="Y31" s="207"/>
    </row>
    <row r="32" spans="1:25" x14ac:dyDescent="0.25">
      <c r="A32" s="170"/>
      <c r="B32" s="171"/>
      <c r="C32" s="194" t="s">
        <v>221</v>
      </c>
      <c r="D32" s="10">
        <f>'2015ER'!AG5</f>
        <v>1.5994820236445826</v>
      </c>
      <c r="E32" s="10">
        <f>'2025ER'!AG5</f>
        <v>0.35030066832913132</v>
      </c>
      <c r="F32" s="472">
        <f t="shared" ref="F32:F42" si="0">TREND(D32:E32,$D$7:$E$7,$F$7)</f>
        <v>0.97489134598686178</v>
      </c>
      <c r="G32" s="5"/>
      <c r="H32" s="170"/>
      <c r="L32" s="526"/>
      <c r="N32" s="438"/>
      <c r="O32" s="526"/>
      <c r="P32" s="527"/>
      <c r="Y32" s="206"/>
    </row>
    <row r="33" spans="1:25" x14ac:dyDescent="0.25">
      <c r="A33" s="170"/>
      <c r="B33" s="171"/>
      <c r="C33" s="194" t="s">
        <v>220</v>
      </c>
      <c r="D33" s="10">
        <f>'2015ER'!AG6</f>
        <v>6.7381205742655201E-2</v>
      </c>
      <c r="E33" s="10">
        <f>'2025ER'!AG6</f>
        <v>4.4825042632683533E-2</v>
      </c>
      <c r="F33" s="472">
        <f t="shared" si="0"/>
        <v>5.6103124187669273E-2</v>
      </c>
      <c r="G33" s="5"/>
      <c r="H33" s="219"/>
      <c r="J33" s="438"/>
      <c r="K33" s="528"/>
      <c r="O33" s="526"/>
      <c r="P33" s="529"/>
      <c r="Y33" s="206"/>
    </row>
    <row r="34" spans="1:25" x14ac:dyDescent="0.25">
      <c r="A34" s="170"/>
      <c r="B34" s="171"/>
      <c r="C34" s="194" t="s">
        <v>219</v>
      </c>
      <c r="D34" s="10">
        <f>'2015ER'!AG7</f>
        <v>3.0974722428626738</v>
      </c>
      <c r="E34" s="10">
        <f>'2025ER'!AG7</f>
        <v>0.6442430103564446</v>
      </c>
      <c r="F34" s="472">
        <f t="shared" si="0"/>
        <v>1.8708576266095633</v>
      </c>
      <c r="G34"/>
      <c r="H34" s="219"/>
      <c r="Y34" s="206"/>
    </row>
    <row r="35" spans="1:25" x14ac:dyDescent="0.25">
      <c r="A35" s="170"/>
      <c r="B35" s="171"/>
      <c r="C35" s="194" t="s">
        <v>218</v>
      </c>
      <c r="D35" s="10">
        <f>'2015ER'!AG8</f>
        <v>3.4133004650001109</v>
      </c>
      <c r="E35" s="10">
        <f>'2025ER'!AG8</f>
        <v>1.3347788591030429</v>
      </c>
      <c r="F35" s="472">
        <f t="shared" si="0"/>
        <v>2.3740396620515867</v>
      </c>
      <c r="G35"/>
      <c r="H35" s="219"/>
      <c r="I35" s="438"/>
    </row>
    <row r="36" spans="1:25" x14ac:dyDescent="0.25">
      <c r="A36" s="170"/>
      <c r="B36" s="724"/>
      <c r="C36" s="193" t="s">
        <v>590</v>
      </c>
      <c r="D36" s="10">
        <f>'2015ER'!AG9</f>
        <v>6.9972905740586164E-2</v>
      </c>
      <c r="E36" s="10">
        <f>'2025ER'!AG9</f>
        <v>1.8676355513173839E-2</v>
      </c>
      <c r="F36" s="703">
        <f t="shared" ref="F36:F37" si="1">TREND(D36:E36,$D$7:$E$7,$F$7)</f>
        <v>4.4324630626880079E-2</v>
      </c>
      <c r="G36" s="724"/>
      <c r="H36" s="219"/>
    </row>
    <row r="37" spans="1:25" x14ac:dyDescent="0.25">
      <c r="A37" s="170"/>
      <c r="B37" s="724"/>
      <c r="C37" s="193" t="s">
        <v>591</v>
      </c>
      <c r="D37" s="10">
        <f>'2015ER'!AG10</f>
        <v>25.39188850897478</v>
      </c>
      <c r="E37" s="10">
        <f>'2025ER'!AG10</f>
        <v>5.9827421021261857</v>
      </c>
      <c r="F37" s="703">
        <f t="shared" si="1"/>
        <v>15.687315305550328</v>
      </c>
      <c r="G37" s="724"/>
      <c r="H37" s="219"/>
      <c r="M37" s="527"/>
    </row>
    <row r="38" spans="1:25" x14ac:dyDescent="0.25">
      <c r="A38" s="220"/>
      <c r="B38" s="171"/>
      <c r="C38" s="194" t="s">
        <v>626</v>
      </c>
      <c r="D38" s="126">
        <f>'2015ER'!AV4</f>
        <v>7701.2468158869069</v>
      </c>
      <c r="E38" s="126">
        <f>'2025ER'!AV4</f>
        <v>7457.3753954897356</v>
      </c>
      <c r="F38" s="472">
        <f t="shared" si="0"/>
        <v>7579.3111056883208</v>
      </c>
      <c r="G38"/>
      <c r="H38" s="219"/>
      <c r="M38" s="527"/>
    </row>
    <row r="39" spans="1:25" x14ac:dyDescent="0.25">
      <c r="A39" s="170"/>
      <c r="B39" s="54"/>
      <c r="C39" s="194" t="s">
        <v>622</v>
      </c>
      <c r="D39" s="126">
        <f>'2015ER'!AV5</f>
        <v>63.977940800482273</v>
      </c>
      <c r="E39" s="126">
        <f>'2025ER'!AV5</f>
        <v>25.376077768462455</v>
      </c>
      <c r="F39" s="472">
        <f t="shared" si="0"/>
        <v>44.677009284472661</v>
      </c>
      <c r="G39"/>
      <c r="H39" s="220"/>
      <c r="M39" s="527"/>
    </row>
    <row r="40" spans="1:25" ht="15.75" x14ac:dyDescent="0.25">
      <c r="A40" s="170"/>
      <c r="B40" s="171"/>
      <c r="C40" s="194" t="s">
        <v>623</v>
      </c>
      <c r="D40" s="126">
        <f>'2015ER'!AV6</f>
        <v>4.3247781712366908</v>
      </c>
      <c r="E40" s="126">
        <f>'2025ER'!AV6</f>
        <v>1.7042063606007158</v>
      </c>
      <c r="F40" s="472">
        <f t="shared" si="0"/>
        <v>3.0144922659186477</v>
      </c>
      <c r="G40" s="54"/>
      <c r="H40" s="220"/>
      <c r="I40" s="553"/>
      <c r="M40" s="529"/>
    </row>
    <row r="41" spans="1:25" x14ac:dyDescent="0.25">
      <c r="A41" s="170"/>
      <c r="B41" s="171"/>
      <c r="C41" s="194" t="s">
        <v>624</v>
      </c>
      <c r="D41" s="126">
        <f>'2015ER'!AV7</f>
        <v>61.690827855331229</v>
      </c>
      <c r="E41" s="126">
        <f>'2025ER'!AV7</f>
        <v>24.28916155157938</v>
      </c>
      <c r="F41" s="472">
        <f t="shared" si="0"/>
        <v>42.989994703455523</v>
      </c>
      <c r="G41" s="54"/>
      <c r="H41" s="220"/>
    </row>
    <row r="42" spans="1:25" x14ac:dyDescent="0.25">
      <c r="A42" s="170"/>
      <c r="B42" s="171"/>
      <c r="C42" s="194" t="s">
        <v>625</v>
      </c>
      <c r="D42" s="126">
        <f>'2015ER'!AV8</f>
        <v>10.430373024743488</v>
      </c>
      <c r="E42" s="126">
        <f>'2025ER'!AV8</f>
        <v>4.4697968378830852</v>
      </c>
      <c r="F42" s="472">
        <f t="shared" si="0"/>
        <v>7.4500849313133131</v>
      </c>
      <c r="G42" s="54"/>
      <c r="H42" s="220"/>
    </row>
    <row r="43" spans="1:25" x14ac:dyDescent="0.25">
      <c r="A43" s="170"/>
      <c r="B43" s="724"/>
      <c r="C43" s="194" t="s">
        <v>593</v>
      </c>
      <c r="D43" s="126">
        <f>'2015ER'!AV9</f>
        <v>7.6596847381551092E-2</v>
      </c>
      <c r="E43" s="126">
        <f>'2025ER'!AV9</f>
        <v>6.3714295089789541E-2</v>
      </c>
      <c r="F43" s="703">
        <f t="shared" ref="F43:F44" si="2">TREND(D43:E43,$D$7:$E$7,$F$7)</f>
        <v>7.0155571235670511E-2</v>
      </c>
      <c r="G43" s="54"/>
      <c r="H43" s="220"/>
      <c r="L43" s="248"/>
    </row>
    <row r="44" spans="1:25" s="248" customFormat="1" x14ac:dyDescent="0.25">
      <c r="A44" s="170"/>
      <c r="B44" s="724"/>
      <c r="C44" s="194" t="s">
        <v>592</v>
      </c>
      <c r="D44" s="126">
        <f>'2015ER'!AV10</f>
        <v>22.994698616033428</v>
      </c>
      <c r="E44" s="126">
        <f>'2025ER'!AV10</f>
        <v>9.6956358189953917</v>
      </c>
      <c r="F44" s="703">
        <f t="shared" si="2"/>
        <v>16.345167217514245</v>
      </c>
      <c r="G44" s="54"/>
      <c r="H44" s="220"/>
      <c r="I44" s="371"/>
      <c r="J44" s="371"/>
      <c r="K44" s="371"/>
      <c r="M44" s="371"/>
    </row>
    <row r="45" spans="1:25" s="248" customFormat="1" x14ac:dyDescent="0.25">
      <c r="A45" s="170"/>
      <c r="B45" s="171"/>
      <c r="C45" s="145"/>
      <c r="D45" s="146"/>
      <c r="E45" s="146"/>
      <c r="F45" s="388"/>
      <c r="G45" s="54"/>
      <c r="H45" s="220"/>
      <c r="I45" s="371"/>
      <c r="J45" s="371"/>
      <c r="K45" s="371"/>
      <c r="M45" s="371"/>
    </row>
    <row r="46" spans="1:25" s="248" customFormat="1" ht="15.75" x14ac:dyDescent="0.25">
      <c r="A46" s="170"/>
      <c r="B46" s="171"/>
      <c r="C46" s="223" t="s">
        <v>317</v>
      </c>
      <c r="D46" s="223"/>
      <c r="E46" s="223"/>
      <c r="F46" s="475"/>
      <c r="G46" s="224"/>
      <c r="H46" s="223"/>
      <c r="I46" s="371"/>
      <c r="M46" s="371"/>
    </row>
    <row r="47" spans="1:25" s="248" customFormat="1" ht="15.75" x14ac:dyDescent="0.25">
      <c r="A47" s="170"/>
      <c r="B47" s="171"/>
      <c r="C47" s="261" t="s">
        <v>324</v>
      </c>
      <c r="D47" s="260"/>
      <c r="E47" s="259"/>
      <c r="F47" s="358" t="s">
        <v>323</v>
      </c>
      <c r="G47" s="54"/>
      <c r="H47" s="220"/>
      <c r="I47" s="371"/>
      <c r="L47" s="371"/>
      <c r="M47" s="371"/>
    </row>
    <row r="48" spans="1:25" x14ac:dyDescent="0.25">
      <c r="A48" s="170"/>
      <c r="B48" s="171"/>
      <c r="C48" s="193" t="s">
        <v>109</v>
      </c>
      <c r="D48" s="21"/>
      <c r="E48" s="21"/>
      <c r="F48" s="240">
        <f>INDEX(Capacity2,MATCH(F11,INDEX(Capacity2,,1),0),MATCH(F8,INDEX(Capacity2,1,),0))*F12*F27</f>
        <v>2805</v>
      </c>
      <c r="G48" s="54"/>
      <c r="H48" s="220"/>
      <c r="J48" s="248"/>
      <c r="K48" s="248"/>
    </row>
    <row r="49" spans="1:13" x14ac:dyDescent="0.25">
      <c r="A49" s="170"/>
      <c r="B49" s="171"/>
      <c r="C49" s="193" t="s">
        <v>110</v>
      </c>
      <c r="D49" s="21"/>
      <c r="E49" s="21"/>
      <c r="F49" s="240">
        <f>INDEX(Capacity2,MATCH(F17,INDEX(Capacity2,,1),0),MATCH(F8,INDEX(Capacity2,1,),0))*F18*F28</f>
        <v>935.00000000000011</v>
      </c>
      <c r="G49" s="54"/>
      <c r="H49" s="220"/>
      <c r="I49" s="248"/>
      <c r="J49" s="248"/>
      <c r="K49" s="248"/>
    </row>
    <row r="50" spans="1:13" x14ac:dyDescent="0.25">
      <c r="A50" s="170"/>
      <c r="B50" s="171"/>
      <c r="C50" s="193" t="s">
        <v>111</v>
      </c>
      <c r="D50" s="21"/>
      <c r="E50" s="21"/>
      <c r="F50" s="240">
        <f>INDEX(Capacity2,MATCH(F11,INDEX(Capacity2,,1),0),MATCH(F8,INDEX(Capacity2,1,),0))*F13*F27</f>
        <v>3272.5000000000005</v>
      </c>
      <c r="G50" s="54"/>
      <c r="H50" s="170"/>
      <c r="I50" s="248"/>
    </row>
    <row r="51" spans="1:13" x14ac:dyDescent="0.25">
      <c r="A51" s="170"/>
      <c r="B51" s="171"/>
      <c r="C51" s="193" t="s">
        <v>112</v>
      </c>
      <c r="D51" s="21"/>
      <c r="E51" s="21"/>
      <c r="F51" s="240">
        <f>INDEX(Capacity2,MATCH(F17,INDEX(Capacity2,,1),0),MATCH(F8,INDEX(Capacity2,1,),0))*F19*F28</f>
        <v>2337.5</v>
      </c>
      <c r="G51"/>
      <c r="H51" s="170"/>
      <c r="I51" s="248"/>
      <c r="M51" s="248"/>
    </row>
    <row r="52" spans="1:13" x14ac:dyDescent="0.25">
      <c r="A52" s="170"/>
      <c r="B52" s="171"/>
      <c r="C52" s="188" t="s">
        <v>113</v>
      </c>
      <c r="D52" s="59"/>
      <c r="E52" s="59"/>
      <c r="F52" s="239">
        <f>MAX(F14/F48,F20/F49)</f>
        <v>0.56720142602495549</v>
      </c>
      <c r="G52"/>
      <c r="H52" s="170"/>
      <c r="I52" s="248"/>
      <c r="M52" s="248"/>
    </row>
    <row r="53" spans="1:13" ht="15.75" x14ac:dyDescent="0.25">
      <c r="A53" s="170"/>
      <c r="B53" s="171"/>
      <c r="C53" s="188" t="s">
        <v>114</v>
      </c>
      <c r="D53" s="59"/>
      <c r="E53" s="59"/>
      <c r="F53" s="239">
        <f>MAX(F14/F50,F20/F51)</f>
        <v>0.48617265087853317</v>
      </c>
      <c r="G53"/>
      <c r="H53" s="170"/>
      <c r="I53" s="554"/>
      <c r="M53" s="248"/>
    </row>
    <row r="54" spans="1:13" ht="15.75" x14ac:dyDescent="0.25">
      <c r="A54" s="221"/>
      <c r="B54" s="171"/>
      <c r="C54" s="188" t="s">
        <v>115</v>
      </c>
      <c r="D54" s="21"/>
      <c r="E54" s="21"/>
      <c r="F54" s="446">
        <f>0.5*F9*(1-F29)^2/(1-(MIN(1,F52)*F29))</f>
        <v>14.715730977486462</v>
      </c>
      <c r="G54"/>
      <c r="H54" s="170"/>
      <c r="I54" s="554"/>
      <c r="M54" s="248"/>
    </row>
    <row r="55" spans="1:13" x14ac:dyDescent="0.25">
      <c r="A55" s="221"/>
      <c r="B55" s="65"/>
      <c r="C55" s="188" t="s">
        <v>388</v>
      </c>
      <c r="D55" s="21"/>
      <c r="E55" s="21"/>
      <c r="F55" s="446">
        <f>0.5*F9*(1-F29)^2/(1-(MIN(1,F53)*F29))</f>
        <v>13.8205437026841</v>
      </c>
      <c r="G55"/>
      <c r="H55" s="221"/>
    </row>
    <row r="56" spans="1:13" x14ac:dyDescent="0.25">
      <c r="A56" s="221"/>
      <c r="B56" s="65"/>
      <c r="C56" s="193" t="s">
        <v>80</v>
      </c>
      <c r="D56" s="21"/>
      <c r="E56" s="21"/>
      <c r="F56" s="446">
        <f>((F14+F20)*F54)/3600</f>
        <v>8.4206682815616976</v>
      </c>
      <c r="G56" s="65"/>
      <c r="H56" s="221"/>
    </row>
    <row r="57" spans="1:13" x14ac:dyDescent="0.25">
      <c r="A57" s="221"/>
      <c r="B57" s="65"/>
      <c r="C57" s="193" t="s">
        <v>81</v>
      </c>
      <c r="D57" s="21"/>
      <c r="E57" s="21"/>
      <c r="F57" s="446">
        <f>((F14+F20)*F55)/3600</f>
        <v>7.9084222298692355</v>
      </c>
      <c r="G57" s="153"/>
      <c r="H57" s="221"/>
    </row>
    <row r="58" spans="1:13" x14ac:dyDescent="0.25">
      <c r="A58" s="221"/>
      <c r="B58" s="65"/>
      <c r="C58" s="193" t="s">
        <v>418</v>
      </c>
      <c r="D58" s="21"/>
      <c r="E58" s="21"/>
      <c r="F58" s="494">
        <f>(F15*F14+F21*F20)/(F14+F20)</f>
        <v>0</v>
      </c>
      <c r="G58" s="153"/>
      <c r="H58" s="221"/>
    </row>
    <row r="59" spans="1:13" x14ac:dyDescent="0.25">
      <c r="A59" s="170"/>
      <c r="B59" s="65"/>
      <c r="C59" s="193" t="s">
        <v>204</v>
      </c>
      <c r="D59" s="21"/>
      <c r="E59" s="21"/>
      <c r="F59" s="240">
        <f>F$25*((F$56*(1-F$58)*F31)+(F$56*F$58*F38))</f>
        <v>265196.52733306668</v>
      </c>
      <c r="G59" s="148"/>
      <c r="H59" s="221"/>
    </row>
    <row r="60" spans="1:13" x14ac:dyDescent="0.25">
      <c r="A60" s="170"/>
      <c r="B60" s="171"/>
      <c r="C60" s="193" t="s">
        <v>275</v>
      </c>
      <c r="D60" s="21"/>
      <c r="E60" s="21"/>
      <c r="F60" s="240">
        <f>F$25*((F$56*(1-F$58)*F32)+(F$56*F$58*F39))</f>
        <v>82.092366351205584</v>
      </c>
      <c r="G60" s="65"/>
      <c r="H60" s="170"/>
    </row>
    <row r="61" spans="1:13" x14ac:dyDescent="0.25">
      <c r="A61" s="170"/>
      <c r="B61" s="171"/>
      <c r="C61" s="193" t="s">
        <v>206</v>
      </c>
      <c r="D61" s="21"/>
      <c r="E61" s="21"/>
      <c r="F61" s="240">
        <f>F$25*((F$56*(1-F$58)*F33)+(F$56*F$58*F40))</f>
        <v>4.7242579834362353</v>
      </c>
      <c r="G61"/>
      <c r="H61" s="170"/>
    </row>
    <row r="62" spans="1:13" x14ac:dyDescent="0.25">
      <c r="A62" s="170"/>
      <c r="B62" s="171"/>
      <c r="C62" s="193" t="s">
        <v>276</v>
      </c>
      <c r="D62" s="21"/>
      <c r="E62" s="21"/>
      <c r="F62" s="240">
        <f>F$25*((F$56*(1-F$58)*F34)+(F$56*F$58*F41))</f>
        <v>157.53871475708948</v>
      </c>
      <c r="G62"/>
      <c r="H62" s="170"/>
    </row>
    <row r="63" spans="1:13" x14ac:dyDescent="0.25">
      <c r="A63" s="170"/>
      <c r="B63" s="171"/>
      <c r="C63" s="193" t="s">
        <v>205</v>
      </c>
      <c r="D63" s="21"/>
      <c r="E63" s="21"/>
      <c r="F63" s="240">
        <f>F$25*((F$56*(1-F$58)*F35)+(F$56*F$58*F42))</f>
        <v>199.91000481407247</v>
      </c>
      <c r="G63"/>
      <c r="H63" s="170"/>
    </row>
    <row r="64" spans="1:13" x14ac:dyDescent="0.25">
      <c r="A64" s="170"/>
      <c r="B64" s="724"/>
      <c r="C64" s="193" t="s">
        <v>594</v>
      </c>
      <c r="D64" s="21"/>
      <c r="E64" s="21"/>
      <c r="F64" s="240">
        <f t="shared" ref="F64:F65" si="3">F$25*((F$56*(1-F$58)*F36)+(F$56*F$58*F43))</f>
        <v>3.7324301121170729</v>
      </c>
      <c r="G64" s="724"/>
      <c r="H64" s="170"/>
    </row>
    <row r="65" spans="1:8" x14ac:dyDescent="0.25">
      <c r="A65" s="170"/>
      <c r="B65" s="724"/>
      <c r="C65" s="193" t="s">
        <v>595</v>
      </c>
      <c r="D65" s="21"/>
      <c r="E65" s="21"/>
      <c r="F65" s="240">
        <f t="shared" si="3"/>
        <v>1320.9767841630501</v>
      </c>
      <c r="G65" s="724"/>
      <c r="H65" s="170"/>
    </row>
    <row r="66" spans="1:8" x14ac:dyDescent="0.25">
      <c r="A66" s="170"/>
      <c r="B66" s="171"/>
      <c r="C66" s="193" t="s">
        <v>207</v>
      </c>
      <c r="D66" s="21"/>
      <c r="E66" s="21"/>
      <c r="F66" s="240">
        <f t="shared" ref="F66:F71" si="4">F$25*((F$57*(1-F$58)*F31)+(F$57*F$58*F38))</f>
        <v>249064.09348023692</v>
      </c>
      <c r="G66"/>
      <c r="H66" s="170"/>
    </row>
    <row r="67" spans="1:8" x14ac:dyDescent="0.25">
      <c r="A67" s="170"/>
      <c r="B67" s="171"/>
      <c r="C67" s="193" t="s">
        <v>277</v>
      </c>
      <c r="D67" s="21"/>
      <c r="E67" s="21"/>
      <c r="F67" s="240">
        <f t="shared" si="4"/>
        <v>77.09852392309638</v>
      </c>
      <c r="G67"/>
      <c r="H67" s="170"/>
    </row>
    <row r="68" spans="1:8" x14ac:dyDescent="0.25">
      <c r="A68" s="170"/>
      <c r="B68" s="171"/>
      <c r="C68" s="193" t="s">
        <v>209</v>
      </c>
      <c r="D68" s="21"/>
      <c r="E68" s="21"/>
      <c r="F68" s="240">
        <f t="shared" si="4"/>
        <v>4.4368719449087806</v>
      </c>
      <c r="G68"/>
      <c r="H68" s="170"/>
    </row>
    <row r="69" spans="1:8" x14ac:dyDescent="0.25">
      <c r="A69" s="170"/>
      <c r="B69" s="171"/>
      <c r="C69" s="193" t="s">
        <v>278</v>
      </c>
      <c r="D69" s="21"/>
      <c r="E69" s="21"/>
      <c r="F69" s="240">
        <f t="shared" si="4"/>
        <v>147.95532043199469</v>
      </c>
      <c r="G69"/>
      <c r="H69" s="170"/>
    </row>
    <row r="70" spans="1:8" x14ac:dyDescent="0.25">
      <c r="A70" s="170"/>
      <c r="B70" s="171"/>
      <c r="C70" s="193" t="s">
        <v>208</v>
      </c>
      <c r="D70" s="21"/>
      <c r="E70" s="21"/>
      <c r="F70" s="240">
        <f t="shared" si="4"/>
        <v>187.74908037960014</v>
      </c>
      <c r="G70"/>
      <c r="H70" s="170"/>
    </row>
    <row r="71" spans="1:8" x14ac:dyDescent="0.25">
      <c r="A71" s="170"/>
      <c r="B71" s="724"/>
      <c r="C71" s="196" t="s">
        <v>596</v>
      </c>
      <c r="D71" s="21"/>
      <c r="E71" s="21"/>
      <c r="F71" s="240">
        <f t="shared" si="4"/>
        <v>3.5053789418036119</v>
      </c>
      <c r="G71" s="724"/>
      <c r="H71" s="170"/>
    </row>
    <row r="72" spans="1:8" x14ac:dyDescent="0.25">
      <c r="A72" s="170"/>
      <c r="B72" s="724"/>
      <c r="C72" s="196" t="s">
        <v>597</v>
      </c>
      <c r="D72" s="21"/>
      <c r="E72" s="21"/>
      <c r="F72" s="240">
        <f t="shared" ref="F72" si="5">F$25*((F$57*(1-F$58)*F37)+(F$57*F$58*F44))</f>
        <v>1240.6191308938212</v>
      </c>
      <c r="G72" s="724"/>
      <c r="H72" s="170"/>
    </row>
    <row r="73" spans="1:8" x14ac:dyDescent="0.25">
      <c r="A73" s="170"/>
      <c r="B73" s="171"/>
      <c r="C73" s="23"/>
      <c r="D73" s="44"/>
      <c r="E73" s="44"/>
      <c r="F73" s="44"/>
      <c r="G73" s="171"/>
      <c r="H73" s="170"/>
    </row>
    <row r="74" spans="1:8" ht="15.75" x14ac:dyDescent="0.25">
      <c r="A74" s="170"/>
      <c r="B74" s="171"/>
      <c r="C74" s="887" t="s">
        <v>318</v>
      </c>
      <c r="D74" s="887"/>
      <c r="E74" s="887"/>
      <c r="F74" s="887"/>
      <c r="G74" s="171"/>
      <c r="H74" s="170"/>
    </row>
    <row r="75" spans="1:8" ht="15.75" thickBot="1" x14ac:dyDescent="0.3">
      <c r="A75" s="170"/>
      <c r="B75" s="171"/>
      <c r="C75" s="167" t="s">
        <v>319</v>
      </c>
      <c r="D75" s="44"/>
      <c r="E75" s="44"/>
      <c r="F75" s="44"/>
      <c r="G75"/>
      <c r="H75" s="170"/>
    </row>
    <row r="76" spans="1:8" x14ac:dyDescent="0.25">
      <c r="A76" s="170"/>
      <c r="B76" s="180"/>
      <c r="C76" s="178" t="s">
        <v>116</v>
      </c>
      <c r="D76" s="647"/>
      <c r="E76" s="648"/>
      <c r="F76" s="623">
        <f>(F56*F25*F26)-(F57*F25*F26)</f>
        <v>1280.6151292311515</v>
      </c>
      <c r="G76"/>
      <c r="H76" s="170"/>
    </row>
    <row r="77" spans="1:8" ht="15.75" thickBot="1" x14ac:dyDescent="0.3">
      <c r="A77" s="170"/>
      <c r="B77" s="180"/>
      <c r="C77" s="492" t="s">
        <v>49</v>
      </c>
      <c r="D77" s="487"/>
      <c r="E77" s="649"/>
      <c r="F77" s="486" t="s">
        <v>187</v>
      </c>
      <c r="G77" s="462"/>
      <c r="H77" s="170"/>
    </row>
    <row r="78" spans="1:8" ht="13.5" customHeight="1" x14ac:dyDescent="0.25">
      <c r="A78" s="170"/>
      <c r="B78" s="171"/>
      <c r="C78" s="23"/>
      <c r="D78" s="44"/>
      <c r="E78" s="44"/>
      <c r="F78" s="44"/>
      <c r="G78"/>
      <c r="H78" s="170"/>
    </row>
    <row r="79" spans="1:8" ht="15.75" thickBot="1" x14ac:dyDescent="0.3">
      <c r="A79" s="170"/>
      <c r="B79" s="171"/>
      <c r="C79" s="808" t="s">
        <v>329</v>
      </c>
      <c r="D79"/>
      <c r="E79" s="35"/>
      <c r="F79" s="35"/>
      <c r="G79"/>
      <c r="H79" s="170"/>
    </row>
    <row r="80" spans="1:8" x14ac:dyDescent="0.25">
      <c r="A80" s="170"/>
      <c r="B80" s="2"/>
      <c r="C80" s="850" t="s">
        <v>701</v>
      </c>
      <c r="D80" s="794"/>
      <c r="E80" s="794"/>
      <c r="F80" s="827">
        <f>((F59-F66)*F$26)/1000</f>
        <v>4033.1084632074417</v>
      </c>
      <c r="G80"/>
      <c r="H80" s="170"/>
    </row>
    <row r="81" spans="1:31" x14ac:dyDescent="0.25">
      <c r="A81" s="170"/>
      <c r="B81" s="2"/>
      <c r="C81" s="851" t="s">
        <v>702</v>
      </c>
      <c r="D81" s="781"/>
      <c r="E81" s="781"/>
      <c r="F81" s="828">
        <f t="shared" ref="F81:F86" si="6">((F60-F67)*F$26)/1000</f>
        <v>1.248460607027301</v>
      </c>
      <c r="G81"/>
      <c r="H81" s="170"/>
    </row>
    <row r="82" spans="1:31" x14ac:dyDescent="0.25">
      <c r="A82" s="170"/>
      <c r="B82" s="2"/>
      <c r="C82" s="851" t="s">
        <v>703</v>
      </c>
      <c r="D82" s="781"/>
      <c r="E82" s="781"/>
      <c r="F82" s="828">
        <f t="shared" si="6"/>
        <v>7.1846509631863689E-2</v>
      </c>
      <c r="G82"/>
      <c r="H82" s="170"/>
    </row>
    <row r="83" spans="1:31" x14ac:dyDescent="0.25">
      <c r="A83" s="170"/>
      <c r="B83" s="2"/>
      <c r="C83" s="869" t="s">
        <v>704</v>
      </c>
      <c r="D83" s="780"/>
      <c r="E83" s="780"/>
      <c r="F83" s="829">
        <f t="shared" si="6"/>
        <v>2.3958485812736967</v>
      </c>
      <c r="G83"/>
      <c r="H83" s="170"/>
    </row>
    <row r="84" spans="1:31" x14ac:dyDescent="0.25">
      <c r="A84" s="170"/>
      <c r="B84" s="2"/>
      <c r="C84" s="869" t="s">
        <v>705</v>
      </c>
      <c r="D84" s="780"/>
      <c r="E84" s="780"/>
      <c r="F84" s="829">
        <f t="shared" si="6"/>
        <v>3.0402311086180802</v>
      </c>
      <c r="G84"/>
      <c r="H84" s="170"/>
    </row>
    <row r="85" spans="1:31" x14ac:dyDescent="0.25">
      <c r="A85" s="170"/>
      <c r="B85" s="2"/>
      <c r="C85" s="869" t="s">
        <v>706</v>
      </c>
      <c r="D85" s="780"/>
      <c r="E85" s="780"/>
      <c r="F85" s="829">
        <f t="shared" si="6"/>
        <v>5.6762792578365251E-2</v>
      </c>
      <c r="G85" s="724"/>
      <c r="H85" s="170"/>
    </row>
    <row r="86" spans="1:31" ht="15.75" thickBot="1" x14ac:dyDescent="0.3">
      <c r="A86" s="170"/>
      <c r="B86" s="2"/>
      <c r="C86" s="870" t="s">
        <v>707</v>
      </c>
      <c r="D86" s="789"/>
      <c r="E86" s="789"/>
      <c r="F86" s="830">
        <f t="shared" si="6"/>
        <v>20.089413317307219</v>
      </c>
      <c r="G86" s="724"/>
      <c r="H86" s="170"/>
    </row>
    <row r="87" spans="1:31" x14ac:dyDescent="0.25">
      <c r="A87" s="170"/>
      <c r="B87" s="2"/>
      <c r="C87" s="850" t="s">
        <v>708</v>
      </c>
      <c r="D87" s="794"/>
      <c r="E87" s="794"/>
      <c r="F87" s="852">
        <f>(F80)/$F$26</f>
        <v>16.132433852829767</v>
      </c>
      <c r="G87"/>
      <c r="H87" s="170"/>
    </row>
    <row r="88" spans="1:31" x14ac:dyDescent="0.25">
      <c r="A88" s="170"/>
      <c r="B88" s="2"/>
      <c r="C88" s="872" t="s">
        <v>709</v>
      </c>
      <c r="D88" s="780"/>
      <c r="E88" s="780"/>
      <c r="F88" s="853">
        <f t="shared" ref="F88:F93" si="7">(F81)/$F$26</f>
        <v>4.9938424281092044E-3</v>
      </c>
      <c r="G88"/>
      <c r="H88" s="170"/>
    </row>
    <row r="89" spans="1:31" x14ac:dyDescent="0.25">
      <c r="A89" s="170"/>
      <c r="B89" s="2"/>
      <c r="C89" s="872" t="s">
        <v>710</v>
      </c>
      <c r="D89" s="780"/>
      <c r="E89" s="780"/>
      <c r="F89" s="853">
        <f t="shared" si="7"/>
        <v>2.8738603852745476E-4</v>
      </c>
      <c r="G89"/>
      <c r="H89" s="170"/>
    </row>
    <row r="90" spans="1:31" x14ac:dyDescent="0.25">
      <c r="A90" s="170"/>
      <c r="B90" s="2"/>
      <c r="C90" s="851" t="s">
        <v>711</v>
      </c>
      <c r="D90" s="781"/>
      <c r="E90" s="781"/>
      <c r="F90" s="854">
        <f t="shared" si="7"/>
        <v>9.5833943250947864E-3</v>
      </c>
      <c r="G90"/>
      <c r="H90" s="170"/>
    </row>
    <row r="91" spans="1:31" x14ac:dyDescent="0.25">
      <c r="A91" s="170"/>
      <c r="B91" s="2"/>
      <c r="C91" s="851" t="s">
        <v>712</v>
      </c>
      <c r="D91" s="781"/>
      <c r="E91" s="781"/>
      <c r="F91" s="854">
        <f t="shared" si="7"/>
        <v>1.2160924434472321E-2</v>
      </c>
      <c r="G91"/>
      <c r="H91" s="170"/>
    </row>
    <row r="92" spans="1:31" x14ac:dyDescent="0.25">
      <c r="A92" s="170"/>
      <c r="B92" s="2"/>
      <c r="C92" s="869" t="s">
        <v>713</v>
      </c>
      <c r="D92" s="780"/>
      <c r="E92" s="780"/>
      <c r="F92" s="853">
        <f t="shared" si="7"/>
        <v>2.2705117031346101E-4</v>
      </c>
      <c r="G92" s="724"/>
      <c r="H92" s="170"/>
    </row>
    <row r="93" spans="1:31" ht="15.75" thickBot="1" x14ac:dyDescent="0.3">
      <c r="A93" s="170"/>
      <c r="B93" s="2"/>
      <c r="C93" s="873" t="s">
        <v>714</v>
      </c>
      <c r="D93" s="786"/>
      <c r="E93" s="786"/>
      <c r="F93" s="855">
        <f t="shared" si="7"/>
        <v>8.0357653269228876E-2</v>
      </c>
      <c r="G93" s="724"/>
      <c r="H93" s="170"/>
    </row>
    <row r="94" spans="1:31" ht="17.25" thickBot="1" x14ac:dyDescent="0.35">
      <c r="A94" s="170"/>
      <c r="B94" s="171"/>
      <c r="C94" s="52"/>
      <c r="D94" s="5"/>
      <c r="E94" s="35"/>
      <c r="F94" s="591"/>
      <c r="G94"/>
      <c r="H94" s="170"/>
    </row>
    <row r="95" spans="1:31" x14ac:dyDescent="0.25">
      <c r="A95" s="368"/>
      <c r="B95" s="2"/>
      <c r="C95" s="850" t="s">
        <v>715</v>
      </c>
      <c r="D95" s="794"/>
      <c r="E95" s="794"/>
      <c r="F95" s="795">
        <v>539200</v>
      </c>
      <c r="G95" s="724"/>
      <c r="H95" s="368"/>
      <c r="Y95" s="371"/>
      <c r="Z95" s="371"/>
      <c r="AA95" s="371"/>
      <c r="AB95" s="371"/>
      <c r="AC95" s="371"/>
      <c r="AD95" s="371"/>
      <c r="AE95" s="371"/>
    </row>
    <row r="96" spans="1:31" x14ac:dyDescent="0.25">
      <c r="A96" s="368"/>
      <c r="B96" s="2"/>
      <c r="C96" s="869" t="s">
        <v>716</v>
      </c>
      <c r="D96" s="780"/>
      <c r="E96" s="780"/>
      <c r="F96" s="796">
        <v>20</v>
      </c>
      <c r="G96" s="724"/>
      <c r="H96" s="368"/>
      <c r="Y96" s="371"/>
      <c r="Z96" s="371"/>
      <c r="AA96" s="371"/>
      <c r="AB96" s="371"/>
      <c r="AC96" s="371"/>
      <c r="AD96" s="371"/>
      <c r="AE96" s="371"/>
    </row>
    <row r="97" spans="1:31" x14ac:dyDescent="0.25">
      <c r="A97" s="368"/>
      <c r="B97" s="2"/>
      <c r="C97" s="851" t="s">
        <v>717</v>
      </c>
      <c r="D97" s="781"/>
      <c r="E97" s="781"/>
      <c r="F97" s="797">
        <f>(F$95/F$96)/F81</f>
        <v>21594.594053066863</v>
      </c>
      <c r="G97" s="724"/>
      <c r="H97" s="368"/>
      <c r="Y97" s="371"/>
      <c r="Z97" s="371"/>
      <c r="AA97" s="371"/>
      <c r="AB97" s="371"/>
      <c r="AC97" s="371"/>
      <c r="AD97" s="371"/>
      <c r="AE97" s="371"/>
    </row>
    <row r="98" spans="1:31" x14ac:dyDescent="0.25">
      <c r="A98" s="368"/>
      <c r="B98" s="2"/>
      <c r="C98" s="851" t="s">
        <v>718</v>
      </c>
      <c r="D98" s="781"/>
      <c r="E98" s="781"/>
      <c r="F98" s="797">
        <f>(F$95/F$96)/F82</f>
        <v>375244.39444784564</v>
      </c>
      <c r="G98" s="724"/>
      <c r="H98" s="368"/>
      <c r="Y98" s="371"/>
      <c r="Z98" s="371"/>
      <c r="AA98" s="371"/>
      <c r="AB98" s="371"/>
      <c r="AC98" s="371"/>
      <c r="AD98" s="371"/>
      <c r="AE98" s="371"/>
    </row>
    <row r="99" spans="1:31" x14ac:dyDescent="0.25">
      <c r="A99" s="368"/>
      <c r="B99" s="2"/>
      <c r="C99" s="851" t="s">
        <v>719</v>
      </c>
      <c r="D99" s="781"/>
      <c r="E99" s="781"/>
      <c r="F99" s="797">
        <f>((F$95/F$96)/F$26)/F90</f>
        <v>11252.797948385933</v>
      </c>
      <c r="G99" s="724"/>
      <c r="H99" s="368"/>
      <c r="Y99" s="371"/>
      <c r="Z99" s="371"/>
      <c r="AA99" s="371"/>
      <c r="AB99" s="371"/>
      <c r="AC99" s="371"/>
      <c r="AD99" s="371"/>
      <c r="AE99" s="371"/>
    </row>
    <row r="100" spans="1:31" x14ac:dyDescent="0.25">
      <c r="A100" s="368"/>
      <c r="B100" s="2"/>
      <c r="C100" s="851" t="s">
        <v>720</v>
      </c>
      <c r="D100" s="781"/>
      <c r="E100" s="781"/>
      <c r="F100" s="797">
        <f>((F$95/F$96)/F$26)/F91</f>
        <v>8867.7469037064475</v>
      </c>
      <c r="G100" s="724"/>
      <c r="H100" s="368"/>
      <c r="Y100" s="371"/>
      <c r="Z100" s="371"/>
      <c r="AA100" s="371"/>
      <c r="AB100" s="371"/>
      <c r="AC100" s="371"/>
      <c r="AD100" s="371"/>
      <c r="AE100" s="371"/>
    </row>
    <row r="101" spans="1:31" ht="15.75" thickBot="1" x14ac:dyDescent="0.3">
      <c r="A101" s="368"/>
      <c r="B101" s="2"/>
      <c r="C101" s="873" t="s">
        <v>721</v>
      </c>
      <c r="D101" s="786"/>
      <c r="E101" s="786"/>
      <c r="F101" s="809">
        <f>((F$95/F$96)/F$26)/F93</f>
        <v>1342.0003647778856</v>
      </c>
      <c r="G101" s="724"/>
      <c r="H101" s="368"/>
      <c r="Y101" s="371"/>
      <c r="Z101" s="371"/>
      <c r="AA101" s="371"/>
      <c r="AB101" s="371"/>
      <c r="AC101" s="371"/>
      <c r="AD101" s="371"/>
      <c r="AE101" s="371"/>
    </row>
    <row r="102" spans="1:31" ht="16.5" x14ac:dyDescent="0.3">
      <c r="A102" s="170"/>
      <c r="B102" s="724"/>
      <c r="C102" s="52"/>
      <c r="D102" s="166"/>
      <c r="E102" s="35"/>
      <c r="F102" s="591"/>
      <c r="G102" s="724"/>
      <c r="H102" s="170"/>
    </row>
    <row r="103" spans="1:31" x14ac:dyDescent="0.25">
      <c r="A103" s="368"/>
      <c r="B103" s="368"/>
      <c r="C103" s="368"/>
      <c r="D103" s="368"/>
      <c r="E103" s="368"/>
      <c r="F103" s="368"/>
      <c r="G103" s="368"/>
      <c r="H103" s="368"/>
      <c r="Y103" s="371"/>
      <c r="Z103" s="371"/>
      <c r="AA103" s="371"/>
      <c r="AB103" s="371"/>
      <c r="AC103" s="371"/>
      <c r="AD103" s="371"/>
      <c r="AE103" s="371"/>
    </row>
  </sheetData>
  <mergeCells count="3">
    <mergeCell ref="C5:F5"/>
    <mergeCell ref="C3:F3"/>
    <mergeCell ref="C74:F74"/>
  </mergeCells>
  <dataValidations count="1">
    <dataValidation type="list" allowBlank="1" showInputMessage="1" showErrorMessage="1" sqref="D17:E17">
      <formula1>$B$28:$B$28</formula1>
    </dataValidation>
  </dataValidations>
  <printOptions headings="1" gridLines="1"/>
  <pageMargins left="0.7" right="0.7" top="0.75" bottom="0.75" header="0.3" footer="0.3"/>
  <pageSetup paperSize="17" scale="73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OtherVariables!$C$12:$I$12</xm:f>
          </x14:formula1>
          <xm:sqref>D8:E8</xm:sqref>
        </x14:dataValidation>
        <x14:dataValidation type="list" allowBlank="1" showInputMessage="1" showErrorMessage="1">
          <x14:formula1>
            <xm:f>OtherVariables!$B$24:$B$24</xm:f>
          </x14:formula1>
          <xm:sqref>D11:E11</xm:sqref>
        </x14:dataValidation>
        <x14:dataValidation type="list" allowBlank="1" showInputMessage="1" showErrorMessage="1">
          <x14:formula1>
            <xm:f>OtherVariables!$C$12:$G$12</xm:f>
          </x14:formula1>
          <xm:sqref>F8</xm:sqref>
        </x14:dataValidation>
        <x14:dataValidation type="list" allowBlank="1" showInputMessage="1" showErrorMessage="1">
          <x14:formula1>
            <xm:f>OtherVariables!$P$24:$P$34</xm:f>
          </x14:formula1>
          <xm:sqref>F7</xm:sqref>
        </x14:dataValidation>
        <x14:dataValidation type="list" allowBlank="1" showInputMessage="1" showErrorMessage="1">
          <x14:formula1>
            <xm:f>OtherVariables!$I$14:$I$20</xm:f>
          </x14:formula1>
          <xm:sqref>F17 F11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A131"/>
  <sheetViews>
    <sheetView showGridLines="0" topLeftCell="A110" zoomScale="85" zoomScaleNormal="85" workbookViewId="0">
      <selection activeCell="J131" sqref="A1:J131"/>
    </sheetView>
  </sheetViews>
  <sheetFormatPr defaultRowHeight="15" x14ac:dyDescent="0.25"/>
  <cols>
    <col min="1" max="2" width="2.28515625" style="165" customWidth="1"/>
    <col min="3" max="3" width="59.5703125" style="165" bestFit="1" customWidth="1"/>
    <col min="4" max="4" width="23" style="165" customWidth="1"/>
    <col min="5" max="5" width="27.7109375" style="249" customWidth="1"/>
    <col min="6" max="6" width="17" style="249" customWidth="1"/>
    <col min="7" max="7" width="29.28515625" style="249" bestFit="1" customWidth="1"/>
    <col min="8" max="8" width="17" style="249" customWidth="1"/>
    <col min="9" max="10" width="2.28515625" style="165" customWidth="1"/>
    <col min="11" max="11" width="14.7109375" style="371" customWidth="1"/>
    <col min="12" max="12" width="10.140625" style="371" bestFit="1" customWidth="1"/>
    <col min="13" max="13" width="9.140625" style="371"/>
    <col min="14" max="14" width="9.140625" style="371" customWidth="1"/>
    <col min="15" max="15" width="42.42578125" style="371" bestFit="1" customWidth="1"/>
    <col min="16" max="26" width="9.140625" style="371"/>
    <col min="27" max="16384" width="9.140625" style="165"/>
  </cols>
  <sheetData>
    <row r="1" spans="1:27" ht="12" customHeight="1" x14ac:dyDescent="0.25">
      <c r="A1" s="170"/>
      <c r="B1" s="170"/>
      <c r="C1" s="170"/>
      <c r="D1" s="170"/>
      <c r="E1" s="170"/>
      <c r="F1" s="170"/>
      <c r="G1" s="170"/>
      <c r="H1" s="170"/>
      <c r="I1" s="170"/>
      <c r="J1" s="170"/>
    </row>
    <row r="2" spans="1:27" ht="12" customHeight="1" x14ac:dyDescent="0.25">
      <c r="A2" s="170"/>
      <c r="B2" s="462"/>
      <c r="C2" s="462"/>
      <c r="D2" s="462"/>
      <c r="E2" s="462"/>
      <c r="F2" s="462"/>
      <c r="G2" s="462"/>
      <c r="H2" s="462"/>
      <c r="I2" s="462"/>
      <c r="J2" s="170"/>
    </row>
    <row r="3" spans="1:27" ht="26.25" x14ac:dyDescent="0.25">
      <c r="A3" s="170"/>
      <c r="B3" s="462"/>
      <c r="C3" s="915" t="s">
        <v>510</v>
      </c>
      <c r="D3" s="915"/>
      <c r="E3" s="915"/>
      <c r="F3" s="915"/>
      <c r="G3" s="915"/>
      <c r="H3" s="915"/>
      <c r="I3" s="208"/>
      <c r="J3" s="201"/>
      <c r="K3" s="550"/>
      <c r="L3" s="551"/>
      <c r="AA3" s="206"/>
    </row>
    <row r="4" spans="1:27" ht="10.5" customHeight="1" x14ac:dyDescent="0.25">
      <c r="A4" s="170"/>
      <c r="B4" s="462"/>
      <c r="C4" s="198"/>
      <c r="D4" s="198"/>
      <c r="E4" s="198"/>
      <c r="F4" s="198"/>
      <c r="G4" s="198"/>
      <c r="H4" s="198"/>
      <c r="I4" s="208"/>
      <c r="J4" s="201"/>
      <c r="K4" s="550"/>
      <c r="N4" s="496"/>
      <c r="O4" s="496"/>
      <c r="AA4" s="206"/>
    </row>
    <row r="5" spans="1:27" s="257" customFormat="1" ht="15.75" x14ac:dyDescent="0.25">
      <c r="A5" s="170"/>
      <c r="B5" s="462"/>
      <c r="C5" s="914" t="s">
        <v>321</v>
      </c>
      <c r="D5" s="914"/>
      <c r="E5" s="914"/>
      <c r="F5" s="914"/>
      <c r="G5" s="587"/>
      <c r="H5" s="587"/>
      <c r="I5" s="49"/>
      <c r="J5" s="189"/>
      <c r="K5" s="552"/>
      <c r="L5" s="371"/>
      <c r="M5" s="371"/>
      <c r="N5" s="496"/>
      <c r="O5" s="495"/>
      <c r="P5" s="371"/>
      <c r="Q5" s="371"/>
      <c r="R5" s="371"/>
      <c r="S5" s="371"/>
      <c r="T5" s="371"/>
      <c r="U5" s="371"/>
      <c r="V5" s="371"/>
      <c r="W5" s="371"/>
      <c r="X5" s="371"/>
      <c r="Y5" s="371"/>
      <c r="Z5" s="371"/>
      <c r="AA5" s="206"/>
    </row>
    <row r="6" spans="1:27" s="257" customFormat="1" ht="15.75" x14ac:dyDescent="0.25">
      <c r="A6" s="215"/>
      <c r="B6" s="166"/>
      <c r="C6" s="210" t="s">
        <v>324</v>
      </c>
      <c r="D6" s="211"/>
      <c r="E6" s="211"/>
      <c r="F6" s="210"/>
      <c r="G6" s="210" t="s">
        <v>326</v>
      </c>
      <c r="H6" s="210"/>
      <c r="I6" s="209"/>
      <c r="J6" s="212"/>
      <c r="K6" s="258"/>
      <c r="L6" s="371"/>
      <c r="M6" s="524"/>
      <c r="N6" s="524"/>
      <c r="O6" s="496"/>
      <c r="P6" s="495"/>
      <c r="Q6" s="371"/>
      <c r="R6" s="371"/>
      <c r="S6" s="371"/>
      <c r="T6" s="371"/>
      <c r="U6" s="371"/>
      <c r="V6" s="371"/>
      <c r="W6" s="371"/>
      <c r="X6" s="371"/>
      <c r="Y6" s="371"/>
      <c r="Z6" s="371"/>
      <c r="AA6" s="206"/>
    </row>
    <row r="7" spans="1:27" s="257" customFormat="1" x14ac:dyDescent="0.25">
      <c r="A7" s="215"/>
      <c r="B7" s="166"/>
      <c r="C7" s="227" t="s">
        <v>331</v>
      </c>
      <c r="D7" s="380">
        <v>2015</v>
      </c>
      <c r="E7" s="380">
        <v>2025</v>
      </c>
      <c r="F7" s="183"/>
      <c r="G7" s="380">
        <v>2020</v>
      </c>
      <c r="H7" s="609"/>
      <c r="I7" s="166"/>
      <c r="J7" s="213"/>
      <c r="K7" s="371"/>
      <c r="L7" s="371"/>
      <c r="M7" s="524"/>
      <c r="N7" s="524"/>
      <c r="O7" s="496"/>
      <c r="P7" s="495"/>
      <c r="Q7" s="371"/>
      <c r="R7" s="371"/>
      <c r="S7" s="371"/>
      <c r="T7" s="371"/>
      <c r="U7" s="371"/>
      <c r="V7" s="371"/>
      <c r="W7" s="371"/>
      <c r="X7" s="371"/>
      <c r="Y7" s="371"/>
      <c r="Z7" s="371"/>
      <c r="AA7" s="206"/>
    </row>
    <row r="8" spans="1:27" s="257" customFormat="1" x14ac:dyDescent="0.25">
      <c r="A8" s="215"/>
      <c r="B8" s="166"/>
      <c r="C8" s="204" t="s">
        <v>26</v>
      </c>
      <c r="D8" s="64"/>
      <c r="E8" s="64"/>
      <c r="F8" s="183"/>
      <c r="G8" s="26" t="s">
        <v>494</v>
      </c>
      <c r="H8" s="608"/>
      <c r="I8" s="35"/>
      <c r="J8" s="214"/>
      <c r="K8" s="371"/>
      <c r="L8" s="371"/>
      <c r="M8" s="524"/>
      <c r="N8" s="524"/>
      <c r="O8" s="496"/>
      <c r="P8" s="495"/>
      <c r="Q8" s="371"/>
      <c r="R8" s="371"/>
      <c r="S8" s="371"/>
      <c r="T8" s="371"/>
      <c r="U8" s="371"/>
      <c r="V8" s="371"/>
      <c r="W8" s="371"/>
      <c r="X8" s="371"/>
      <c r="Y8" s="371"/>
      <c r="Z8" s="371"/>
      <c r="AA8" s="206"/>
    </row>
    <row r="9" spans="1:27" s="257" customFormat="1" x14ac:dyDescent="0.25">
      <c r="A9" s="215"/>
      <c r="B9" s="166"/>
      <c r="C9" s="228" t="s">
        <v>619</v>
      </c>
      <c r="D9" s="51"/>
      <c r="E9" s="51"/>
      <c r="F9" s="183"/>
      <c r="G9" s="51">
        <v>55</v>
      </c>
      <c r="H9" s="606"/>
      <c r="I9" s="35"/>
      <c r="J9" s="214"/>
      <c r="L9" s="371"/>
      <c r="M9" s="524"/>
      <c r="N9" s="524"/>
      <c r="O9" s="496"/>
      <c r="P9" s="495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206"/>
    </row>
    <row r="10" spans="1:27" s="257" customFormat="1" x14ac:dyDescent="0.25">
      <c r="A10" s="215"/>
      <c r="B10" s="166"/>
      <c r="C10" s="228" t="s">
        <v>556</v>
      </c>
      <c r="D10" s="51"/>
      <c r="E10" s="51"/>
      <c r="F10" s="183"/>
      <c r="G10" s="612" t="s">
        <v>21</v>
      </c>
      <c r="H10" s="607"/>
      <c r="I10" s="35"/>
      <c r="J10" s="214"/>
      <c r="K10" s="371"/>
      <c r="L10" s="371"/>
      <c r="M10" s="524"/>
      <c r="N10" s="524"/>
      <c r="O10" s="496"/>
      <c r="P10" s="495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206"/>
    </row>
    <row r="11" spans="1:27" s="257" customFormat="1" x14ac:dyDescent="0.25">
      <c r="A11" s="215"/>
      <c r="B11" s="166"/>
      <c r="C11" s="188" t="s">
        <v>47</v>
      </c>
      <c r="D11" s="51"/>
      <c r="E11" s="51"/>
      <c r="F11" s="183"/>
      <c r="G11" s="51">
        <v>20</v>
      </c>
      <c r="H11" s="606"/>
      <c r="I11" s="35"/>
      <c r="J11" s="214"/>
      <c r="L11" s="524"/>
      <c r="M11" s="524"/>
      <c r="N11" s="496"/>
      <c r="O11" s="495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  <c r="AA11" s="206"/>
    </row>
    <row r="12" spans="1:27" s="257" customFormat="1" x14ac:dyDescent="0.25">
      <c r="A12" s="215"/>
      <c r="B12" s="166"/>
      <c r="C12" s="188" t="s">
        <v>516</v>
      </c>
      <c r="D12" s="51"/>
      <c r="E12" s="51"/>
      <c r="F12" s="183"/>
      <c r="G12" s="51"/>
      <c r="H12" s="606"/>
      <c r="I12" s="35"/>
      <c r="J12" s="214"/>
      <c r="K12" s="371"/>
      <c r="L12" s="524"/>
      <c r="M12" s="524"/>
      <c r="N12" s="496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  <c r="AA12" s="206"/>
    </row>
    <row r="13" spans="1:27" s="257" customFormat="1" x14ac:dyDescent="0.25">
      <c r="A13" s="215"/>
      <c r="B13" s="166"/>
      <c r="C13" s="916" t="s">
        <v>306</v>
      </c>
      <c r="D13" s="916"/>
      <c r="E13" s="916"/>
      <c r="F13" s="916"/>
      <c r="G13" s="916"/>
      <c r="H13" s="916"/>
      <c r="I13" s="35"/>
      <c r="J13" s="214"/>
      <c r="K13" s="371"/>
      <c r="L13" s="524"/>
      <c r="M13" s="524"/>
      <c r="N13" s="496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206"/>
    </row>
    <row r="14" spans="1:27" s="257" customFormat="1" x14ac:dyDescent="0.25">
      <c r="A14" s="215"/>
      <c r="B14" s="22"/>
      <c r="C14" s="436" t="s">
        <v>46</v>
      </c>
      <c r="D14" s="592"/>
      <c r="E14" s="592"/>
      <c r="F14" s="610"/>
      <c r="G14" s="604" t="s">
        <v>507</v>
      </c>
      <c r="H14" s="611"/>
      <c r="I14" s="591"/>
      <c r="J14" s="214"/>
      <c r="K14" s="371"/>
      <c r="L14" s="524"/>
      <c r="M14" s="524"/>
      <c r="N14" s="496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206"/>
    </row>
    <row r="15" spans="1:27" s="257" customFormat="1" x14ac:dyDescent="0.25">
      <c r="A15" s="215"/>
      <c r="B15" s="22"/>
      <c r="C15" s="596" t="s">
        <v>512</v>
      </c>
      <c r="D15" s="598"/>
      <c r="E15" s="598"/>
      <c r="F15" s="183"/>
      <c r="G15" s="621">
        <v>0.02</v>
      </c>
      <c r="H15" s="605"/>
      <c r="I15" s="591"/>
      <c r="J15" s="214"/>
      <c r="K15" s="371"/>
      <c r="L15" s="524"/>
      <c r="M15" s="524"/>
      <c r="N15" s="496"/>
      <c r="O15" s="371"/>
      <c r="P15" s="371"/>
      <c r="Q15" s="371"/>
      <c r="R15" s="371"/>
      <c r="S15" s="371"/>
      <c r="T15" s="371"/>
      <c r="U15" s="371"/>
      <c r="V15" s="371"/>
      <c r="W15" s="371"/>
      <c r="X15" s="371"/>
      <c r="Y15" s="371"/>
      <c r="Z15" s="371"/>
      <c r="AA15" s="206"/>
    </row>
    <row r="16" spans="1:27" s="257" customFormat="1" x14ac:dyDescent="0.25">
      <c r="A16" s="215"/>
      <c r="B16" s="22"/>
      <c r="C16" s="640" t="s">
        <v>529</v>
      </c>
      <c r="D16" s="664"/>
      <c r="E16" s="663"/>
      <c r="F16" s="599" t="s">
        <v>96</v>
      </c>
      <c r="G16" s="599" t="s">
        <v>530</v>
      </c>
      <c r="H16" s="599" t="s">
        <v>97</v>
      </c>
      <c r="I16" s="591"/>
      <c r="J16" s="214"/>
      <c r="K16" s="371"/>
      <c r="L16" s="524"/>
      <c r="M16" s="524"/>
      <c r="N16" s="496"/>
      <c r="O16" s="371"/>
      <c r="P16" s="371"/>
      <c r="Q16" s="371"/>
      <c r="R16" s="371"/>
      <c r="S16" s="371"/>
      <c r="T16" s="371"/>
      <c r="U16" s="371"/>
      <c r="V16" s="371"/>
      <c r="W16" s="371"/>
      <c r="X16" s="371"/>
      <c r="Y16" s="371"/>
      <c r="Z16" s="371"/>
      <c r="AA16" s="206"/>
    </row>
    <row r="17" spans="1:27" s="257" customFormat="1" x14ac:dyDescent="0.25">
      <c r="A17" s="215"/>
      <c r="B17" s="22"/>
      <c r="C17" s="597" t="s">
        <v>620</v>
      </c>
      <c r="D17" s="592"/>
      <c r="E17" s="592"/>
      <c r="F17" s="661">
        <v>1</v>
      </c>
      <c r="G17" s="592">
        <v>2</v>
      </c>
      <c r="H17" s="593" t="s">
        <v>528</v>
      </c>
      <c r="I17" s="31"/>
      <c r="J17" s="214"/>
      <c r="K17" s="371"/>
      <c r="L17" s="524"/>
      <c r="M17" s="524"/>
      <c r="N17" s="496"/>
      <c r="O17" s="371"/>
      <c r="P17" s="371"/>
      <c r="Q17" s="371"/>
      <c r="R17" s="371"/>
      <c r="S17" s="371"/>
      <c r="T17" s="371"/>
      <c r="U17" s="371"/>
      <c r="V17" s="371"/>
      <c r="W17" s="371"/>
      <c r="X17" s="371"/>
      <c r="Y17" s="371"/>
      <c r="Z17" s="371"/>
      <c r="AA17" s="206"/>
    </row>
    <row r="18" spans="1:27" s="257" customFormat="1" x14ac:dyDescent="0.25">
      <c r="A18" s="215"/>
      <c r="B18" s="22"/>
      <c r="C18" s="668" t="s">
        <v>511</v>
      </c>
      <c r="D18" s="594"/>
      <c r="E18" s="594"/>
      <c r="F18" s="662">
        <v>452</v>
      </c>
      <c r="G18" s="594">
        <v>1900</v>
      </c>
      <c r="H18" s="594"/>
      <c r="I18" s="31"/>
      <c r="J18" s="214"/>
      <c r="K18" s="371"/>
      <c r="L18" s="524"/>
      <c r="M18" s="524"/>
      <c r="N18" s="496"/>
      <c r="O18" s="371"/>
      <c r="P18" s="371"/>
      <c r="Q18" s="371"/>
      <c r="R18" s="371"/>
      <c r="S18" s="371"/>
      <c r="T18" s="371"/>
      <c r="U18" s="371"/>
      <c r="V18" s="371"/>
      <c r="W18" s="371"/>
      <c r="X18" s="371"/>
      <c r="Y18" s="371"/>
      <c r="Z18" s="371"/>
      <c r="AA18" s="206"/>
    </row>
    <row r="19" spans="1:27" s="257" customFormat="1" x14ac:dyDescent="0.25">
      <c r="A19" s="215"/>
      <c r="B19" s="22"/>
      <c r="C19" s="640" t="s">
        <v>531</v>
      </c>
      <c r="D19" s="663"/>
      <c r="E19" s="664"/>
      <c r="F19" s="599" t="s">
        <v>96</v>
      </c>
      <c r="G19" s="599" t="s">
        <v>530</v>
      </c>
      <c r="H19" s="599" t="s">
        <v>97</v>
      </c>
      <c r="I19" s="31"/>
      <c r="J19" s="214"/>
      <c r="K19" s="371"/>
      <c r="L19" s="524"/>
      <c r="M19" s="524"/>
      <c r="N19" s="496"/>
      <c r="O19" s="371"/>
      <c r="P19" s="371"/>
      <c r="Q19" s="371"/>
      <c r="R19" s="371"/>
      <c r="S19" s="371"/>
      <c r="T19" s="371"/>
      <c r="U19" s="371"/>
      <c r="V19" s="371"/>
      <c r="W19" s="371"/>
      <c r="X19" s="371"/>
      <c r="Y19" s="371"/>
      <c r="Z19" s="371"/>
      <c r="AA19" s="206"/>
    </row>
    <row r="20" spans="1:27" s="257" customFormat="1" x14ac:dyDescent="0.25">
      <c r="A20" s="215"/>
      <c r="B20" s="166"/>
      <c r="C20" s="597" t="s">
        <v>620</v>
      </c>
      <c r="D20" s="592"/>
      <c r="E20" s="592"/>
      <c r="F20" s="661">
        <v>1</v>
      </c>
      <c r="G20" s="592">
        <v>2</v>
      </c>
      <c r="H20" s="593" t="s">
        <v>528</v>
      </c>
      <c r="I20" s="8"/>
      <c r="J20" s="215"/>
      <c r="K20" s="371"/>
      <c r="M20" s="524"/>
      <c r="N20" s="496"/>
      <c r="O20" s="371"/>
      <c r="P20" s="371"/>
      <c r="Q20" s="371"/>
      <c r="R20" s="371"/>
      <c r="S20" s="371"/>
      <c r="T20" s="371"/>
      <c r="U20" s="371"/>
      <c r="V20" s="371"/>
      <c r="W20" s="371"/>
      <c r="X20" s="371"/>
      <c r="Y20" s="371"/>
      <c r="Z20" s="371"/>
      <c r="AA20" s="206"/>
    </row>
    <row r="21" spans="1:27" s="257" customFormat="1" x14ac:dyDescent="0.25">
      <c r="A21" s="215"/>
      <c r="B21" s="166"/>
      <c r="C21" s="668" t="s">
        <v>511</v>
      </c>
      <c r="D21" s="594"/>
      <c r="E21" s="594"/>
      <c r="F21" s="662">
        <v>563</v>
      </c>
      <c r="G21" s="594">
        <v>864</v>
      </c>
      <c r="H21" s="594"/>
      <c r="I21" s="8"/>
      <c r="J21" s="170"/>
      <c r="K21" s="371"/>
      <c r="L21" s="524"/>
      <c r="M21" s="524"/>
      <c r="N21" s="585"/>
      <c r="O21" s="371"/>
      <c r="P21" s="371"/>
      <c r="Q21" s="371"/>
      <c r="R21" s="371"/>
      <c r="S21" s="371"/>
      <c r="T21" s="371"/>
      <c r="U21" s="371"/>
      <c r="V21" s="371"/>
      <c r="W21" s="371"/>
      <c r="X21" s="371"/>
      <c r="Y21" s="371"/>
      <c r="Z21" s="371"/>
      <c r="AA21" s="206"/>
    </row>
    <row r="22" spans="1:27" s="257" customFormat="1" x14ac:dyDescent="0.25">
      <c r="A22" s="215"/>
      <c r="B22" s="22"/>
      <c r="C22" s="916" t="s">
        <v>307</v>
      </c>
      <c r="D22" s="916"/>
      <c r="E22" s="916"/>
      <c r="F22" s="916"/>
      <c r="G22" s="916"/>
      <c r="H22" s="916"/>
      <c r="I22" s="31"/>
      <c r="J22" s="214"/>
      <c r="K22" s="371"/>
      <c r="L22" s="524"/>
      <c r="M22" s="524"/>
      <c r="N22" s="496"/>
      <c r="O22" s="496"/>
      <c r="P22" s="371"/>
      <c r="Q22" s="371"/>
      <c r="R22" s="371"/>
      <c r="S22" s="371"/>
      <c r="T22" s="371"/>
      <c r="U22" s="371"/>
      <c r="V22" s="371"/>
      <c r="W22" s="371"/>
      <c r="X22" s="371"/>
      <c r="Y22" s="371"/>
      <c r="Z22" s="371"/>
      <c r="AA22" s="206"/>
    </row>
    <row r="23" spans="1:27" s="257" customFormat="1" x14ac:dyDescent="0.25">
      <c r="A23" s="215"/>
      <c r="B23" s="22"/>
      <c r="C23" s="436" t="s">
        <v>46</v>
      </c>
      <c r="D23" s="592"/>
      <c r="E23" s="592"/>
      <c r="F23" s="631"/>
      <c r="G23" s="604" t="s">
        <v>657</v>
      </c>
      <c r="H23" s="611"/>
      <c r="I23" s="591"/>
      <c r="J23" s="214"/>
      <c r="K23" s="371"/>
      <c r="L23" s="524"/>
      <c r="M23" s="524"/>
      <c r="N23" s="496"/>
      <c r="O23" s="495"/>
      <c r="P23" s="371"/>
      <c r="Q23" s="371"/>
      <c r="R23" s="371"/>
      <c r="S23" s="371"/>
      <c r="T23" s="371"/>
      <c r="U23" s="371"/>
      <c r="V23" s="371"/>
      <c r="W23" s="371"/>
      <c r="X23" s="371"/>
      <c r="Y23" s="371"/>
      <c r="Z23" s="371"/>
      <c r="AA23" s="206"/>
    </row>
    <row r="24" spans="1:27" s="257" customFormat="1" ht="15.75" x14ac:dyDescent="0.25">
      <c r="A24" s="215"/>
      <c r="B24" s="22"/>
      <c r="C24" s="596" t="s">
        <v>512</v>
      </c>
      <c r="D24" s="598"/>
      <c r="E24" s="598"/>
      <c r="F24" s="631"/>
      <c r="G24" s="620">
        <v>0.05</v>
      </c>
      <c r="H24" s="605"/>
      <c r="I24" s="35"/>
      <c r="J24" s="214"/>
      <c r="K24" s="553"/>
      <c r="L24" s="524"/>
      <c r="M24" s="524"/>
      <c r="N24" s="496"/>
      <c r="O24" s="495"/>
      <c r="P24" s="371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206"/>
    </row>
    <row r="25" spans="1:27" s="257" customFormat="1" ht="15.75" x14ac:dyDescent="0.25">
      <c r="A25" s="215"/>
      <c r="B25" s="22"/>
      <c r="C25" s="640" t="s">
        <v>529</v>
      </c>
      <c r="D25" s="664"/>
      <c r="E25" s="663"/>
      <c r="F25" s="599" t="s">
        <v>96</v>
      </c>
      <c r="G25" s="599" t="s">
        <v>530</v>
      </c>
      <c r="H25" s="599" t="s">
        <v>97</v>
      </c>
      <c r="I25" s="35"/>
      <c r="J25" s="214"/>
      <c r="K25" s="553"/>
      <c r="L25" s="371"/>
      <c r="M25" s="371"/>
      <c r="N25" s="496"/>
      <c r="O25" s="495"/>
      <c r="P25" s="371"/>
      <c r="Q25" s="371"/>
      <c r="R25" s="371"/>
      <c r="S25" s="371"/>
      <c r="T25" s="371"/>
      <c r="U25" s="371"/>
      <c r="V25" s="371"/>
      <c r="W25" s="371"/>
      <c r="X25" s="371"/>
      <c r="Y25" s="371"/>
      <c r="Z25" s="371"/>
      <c r="AA25" s="206"/>
    </row>
    <row r="26" spans="1:27" s="257" customFormat="1" ht="15.75" x14ac:dyDescent="0.25">
      <c r="A26" s="215"/>
      <c r="B26" s="22"/>
      <c r="C26" s="597" t="s">
        <v>620</v>
      </c>
      <c r="D26" s="592"/>
      <c r="E26" s="592"/>
      <c r="F26" s="592">
        <v>1</v>
      </c>
      <c r="G26" s="592">
        <v>2</v>
      </c>
      <c r="H26" s="593" t="s">
        <v>557</v>
      </c>
      <c r="I26" s="35"/>
      <c r="J26" s="214"/>
      <c r="K26" s="553"/>
      <c r="L26" s="371"/>
      <c r="M26" s="371"/>
      <c r="N26" s="496"/>
      <c r="O26" s="495"/>
      <c r="P26" s="371"/>
      <c r="Q26" s="371"/>
      <c r="R26" s="371"/>
      <c r="S26" s="371"/>
      <c r="T26" s="371"/>
      <c r="U26" s="371"/>
      <c r="V26" s="371"/>
      <c r="W26" s="371"/>
      <c r="X26" s="371"/>
      <c r="Y26" s="371"/>
      <c r="Z26" s="371"/>
      <c r="AA26" s="206"/>
    </row>
    <row r="27" spans="1:27" s="257" customFormat="1" ht="15.75" x14ac:dyDescent="0.25">
      <c r="A27" s="215"/>
      <c r="B27" s="22"/>
      <c r="C27" s="595" t="s">
        <v>511</v>
      </c>
      <c r="D27" s="594"/>
      <c r="E27" s="594"/>
      <c r="F27" s="594">
        <v>653</v>
      </c>
      <c r="G27" s="594">
        <v>1080</v>
      </c>
      <c r="H27" s="594">
        <v>100</v>
      </c>
      <c r="I27" s="35"/>
      <c r="J27" s="214"/>
      <c r="K27" s="553"/>
      <c r="L27" s="371"/>
      <c r="M27" s="371"/>
      <c r="N27" s="496"/>
      <c r="O27" s="495"/>
      <c r="P27" s="524"/>
      <c r="Q27" s="371"/>
      <c r="R27" s="371"/>
      <c r="S27" s="371"/>
      <c r="T27" s="371"/>
      <c r="U27" s="371"/>
      <c r="V27" s="371"/>
      <c r="W27" s="371"/>
      <c r="X27" s="371"/>
      <c r="Y27" s="371"/>
      <c r="Z27" s="371"/>
      <c r="AA27" s="206"/>
    </row>
    <row r="28" spans="1:27" ht="15.75" x14ac:dyDescent="0.25">
      <c r="A28" s="215"/>
      <c r="B28" s="22"/>
      <c r="C28" s="640" t="s">
        <v>531</v>
      </c>
      <c r="D28" s="664"/>
      <c r="E28" s="663"/>
      <c r="F28" s="599" t="s">
        <v>96</v>
      </c>
      <c r="G28" s="599" t="s">
        <v>530</v>
      </c>
      <c r="H28" s="599" t="s">
        <v>97</v>
      </c>
      <c r="I28" s="35"/>
      <c r="J28" s="214"/>
      <c r="K28" s="553"/>
      <c r="N28" s="524"/>
      <c r="P28" s="524"/>
      <c r="AA28" s="206"/>
    </row>
    <row r="29" spans="1:27" x14ac:dyDescent="0.25">
      <c r="A29" s="215"/>
      <c r="B29" s="22"/>
      <c r="C29" s="597" t="s">
        <v>620</v>
      </c>
      <c r="D29" s="592"/>
      <c r="E29" s="592"/>
      <c r="F29" s="661">
        <v>1</v>
      </c>
      <c r="G29" s="592">
        <v>2</v>
      </c>
      <c r="H29" s="593" t="s">
        <v>557</v>
      </c>
      <c r="I29" s="31"/>
      <c r="J29" s="215"/>
      <c r="P29" s="524"/>
      <c r="AA29" s="206"/>
    </row>
    <row r="30" spans="1:27" x14ac:dyDescent="0.25">
      <c r="A30" s="215"/>
      <c r="B30" s="166"/>
      <c r="C30" s="595" t="s">
        <v>511</v>
      </c>
      <c r="D30" s="594"/>
      <c r="E30" s="594"/>
      <c r="F30" s="594">
        <v>897</v>
      </c>
      <c r="G30" s="594">
        <v>600</v>
      </c>
      <c r="H30" s="594">
        <v>268</v>
      </c>
      <c r="I30" s="8"/>
      <c r="J30" s="215"/>
      <c r="AA30" s="206"/>
    </row>
    <row r="31" spans="1:27" x14ac:dyDescent="0.25">
      <c r="A31" s="215"/>
      <c r="B31" s="166"/>
      <c r="C31" s="916" t="s">
        <v>550</v>
      </c>
      <c r="D31" s="916"/>
      <c r="E31" s="916"/>
      <c r="F31" s="916"/>
      <c r="G31" s="916"/>
      <c r="H31" s="916"/>
      <c r="I31" s="8"/>
      <c r="J31" s="215"/>
      <c r="AA31" s="206"/>
    </row>
    <row r="32" spans="1:27" x14ac:dyDescent="0.25">
      <c r="A32" s="215"/>
      <c r="B32" s="166"/>
      <c r="C32" s="668" t="s">
        <v>558</v>
      </c>
      <c r="D32" s="594"/>
      <c r="E32" s="594"/>
      <c r="F32" s="660">
        <v>0.67</v>
      </c>
      <c r="G32" s="630">
        <v>0.67</v>
      </c>
      <c r="H32" s="630">
        <v>0.67</v>
      </c>
      <c r="I32" s="8"/>
      <c r="J32" s="215"/>
      <c r="AA32" s="206"/>
    </row>
    <row r="33" spans="1:27" x14ac:dyDescent="0.25">
      <c r="A33" s="215"/>
      <c r="B33" s="166"/>
      <c r="C33" s="668" t="s">
        <v>559</v>
      </c>
      <c r="D33" s="594"/>
      <c r="E33" s="594"/>
      <c r="F33" s="660">
        <v>0.67</v>
      </c>
      <c r="G33" s="630">
        <v>0.67</v>
      </c>
      <c r="H33" s="630">
        <v>0.67</v>
      </c>
      <c r="I33" s="8"/>
      <c r="J33" s="215"/>
      <c r="N33" s="526"/>
      <c r="O33" s="527"/>
      <c r="Q33" s="526"/>
      <c r="R33" s="527"/>
      <c r="AA33" s="206"/>
    </row>
    <row r="34" spans="1:27" s="244" customFormat="1" x14ac:dyDescent="0.25">
      <c r="A34" s="215"/>
      <c r="B34" s="166"/>
      <c r="C34" s="668" t="s">
        <v>561</v>
      </c>
      <c r="D34" s="594"/>
      <c r="E34" s="594"/>
      <c r="F34" s="660">
        <v>0.14000000000000001</v>
      </c>
      <c r="G34" s="630">
        <v>0.14000000000000001</v>
      </c>
      <c r="H34" s="630">
        <v>0.14000000000000001</v>
      </c>
      <c r="I34" s="8"/>
      <c r="J34" s="215"/>
      <c r="K34" s="371"/>
      <c r="L34" s="371"/>
      <c r="M34" s="371"/>
      <c r="N34" s="526"/>
      <c r="O34" s="527"/>
      <c r="P34" s="371"/>
      <c r="Q34" s="526"/>
      <c r="R34" s="527"/>
      <c r="S34" s="438"/>
      <c r="T34" s="438"/>
      <c r="U34" s="438"/>
      <c r="V34" s="438"/>
      <c r="W34" s="438"/>
      <c r="X34" s="438"/>
      <c r="Y34" s="438"/>
      <c r="Z34" s="438"/>
      <c r="AA34" s="207"/>
    </row>
    <row r="35" spans="1:27" x14ac:dyDescent="0.25">
      <c r="A35" s="215"/>
      <c r="B35" s="166"/>
      <c r="C35" s="668" t="s">
        <v>560</v>
      </c>
      <c r="D35" s="594"/>
      <c r="E35" s="594"/>
      <c r="F35" s="660">
        <v>0.14000000000000001</v>
      </c>
      <c r="G35" s="630">
        <v>0.14000000000000001</v>
      </c>
      <c r="H35" s="630">
        <v>0.14000000000000001</v>
      </c>
      <c r="I35" s="8"/>
      <c r="J35" s="215"/>
      <c r="P35" s="438"/>
      <c r="Q35" s="526"/>
      <c r="R35" s="527"/>
      <c r="AA35" s="206"/>
    </row>
    <row r="36" spans="1:27" ht="15.75" hidden="1" x14ac:dyDescent="0.25">
      <c r="A36" s="215"/>
      <c r="B36" s="166"/>
      <c r="C36" s="917" t="s">
        <v>550</v>
      </c>
      <c r="D36" s="917"/>
      <c r="E36" s="917"/>
      <c r="F36" s="917"/>
      <c r="G36" s="917"/>
      <c r="H36" s="917"/>
      <c r="I36" s="8"/>
      <c r="J36" s="215"/>
      <c r="Q36" s="526"/>
      <c r="R36" s="529"/>
      <c r="AA36" s="206"/>
    </row>
    <row r="37" spans="1:27" hidden="1" x14ac:dyDescent="0.25">
      <c r="A37" s="215"/>
      <c r="B37" s="166"/>
      <c r="C37" s="595" t="s">
        <v>558</v>
      </c>
      <c r="D37" s="627"/>
      <c r="E37" s="628"/>
      <c r="F37" s="630">
        <f>IF($G$10="Y",F32,$G$46)</f>
        <v>0.67</v>
      </c>
      <c r="G37" s="630">
        <f t="shared" ref="G37:H38" si="0">IF($G$10="Y",G32,$G$46)</f>
        <v>0.67</v>
      </c>
      <c r="H37" s="630">
        <f t="shared" si="0"/>
        <v>0.67</v>
      </c>
      <c r="I37" s="8"/>
      <c r="J37" s="215"/>
      <c r="AA37" s="206"/>
    </row>
    <row r="38" spans="1:27" hidden="1" x14ac:dyDescent="0.25">
      <c r="A38" s="215"/>
      <c r="B38" s="166"/>
      <c r="C38" s="595" t="s">
        <v>559</v>
      </c>
      <c r="D38" s="629"/>
      <c r="E38" s="629"/>
      <c r="F38" s="630">
        <f>IF($G$10="Y",F33,$G$46)</f>
        <v>0.67</v>
      </c>
      <c r="G38" s="630">
        <f t="shared" si="0"/>
        <v>0.67</v>
      </c>
      <c r="H38" s="630">
        <f t="shared" si="0"/>
        <v>0.67</v>
      </c>
      <c r="I38" s="8"/>
      <c r="J38" s="215"/>
    </row>
    <row r="39" spans="1:27" hidden="1" x14ac:dyDescent="0.25">
      <c r="A39" s="215"/>
      <c r="B39" s="166"/>
      <c r="C39" s="595" t="s">
        <v>561</v>
      </c>
      <c r="D39" s="627"/>
      <c r="E39" s="628"/>
      <c r="F39" s="630">
        <f>IF($G$10="Y",F34,$G$47)</f>
        <v>0.14000000000000001</v>
      </c>
      <c r="G39" s="630">
        <f t="shared" ref="G39:H40" si="1">IF($G$10="Y",G34,$G$47)</f>
        <v>0.14000000000000001</v>
      </c>
      <c r="H39" s="630">
        <f t="shared" si="1"/>
        <v>0.14000000000000001</v>
      </c>
      <c r="I39" s="8"/>
      <c r="J39" s="215"/>
      <c r="M39" s="528"/>
    </row>
    <row r="40" spans="1:27" hidden="1" x14ac:dyDescent="0.25">
      <c r="A40" s="215"/>
      <c r="B40" s="166"/>
      <c r="C40" s="595" t="s">
        <v>560</v>
      </c>
      <c r="D40" s="629"/>
      <c r="E40" s="629"/>
      <c r="F40" s="630">
        <f>IF($G$10="Y",F35,$G$47)</f>
        <v>0.14000000000000001</v>
      </c>
      <c r="G40" s="630">
        <f t="shared" si="1"/>
        <v>0.14000000000000001</v>
      </c>
      <c r="H40" s="630">
        <f t="shared" si="1"/>
        <v>0.14000000000000001</v>
      </c>
      <c r="I40" s="8"/>
      <c r="J40" s="215"/>
    </row>
    <row r="41" spans="1:27" x14ac:dyDescent="0.25">
      <c r="A41" s="215"/>
      <c r="B41" s="166"/>
      <c r="C41" s="225"/>
      <c r="D41" s="226"/>
      <c r="E41" s="226"/>
      <c r="F41" s="226"/>
      <c r="G41" s="226"/>
      <c r="H41" s="226"/>
      <c r="I41" s="15"/>
      <c r="J41" s="170"/>
    </row>
    <row r="42" spans="1:27" ht="15.75" x14ac:dyDescent="0.25">
      <c r="A42" s="215"/>
      <c r="B42" s="166"/>
      <c r="C42" s="223" t="s">
        <v>320</v>
      </c>
      <c r="D42" s="223"/>
      <c r="E42" s="223"/>
      <c r="F42" s="223"/>
      <c r="G42" s="223"/>
      <c r="H42" s="223"/>
      <c r="I42" s="224"/>
      <c r="J42" s="223"/>
    </row>
    <row r="43" spans="1:27" ht="15.75" x14ac:dyDescent="0.25">
      <c r="A43" s="215"/>
      <c r="B43" s="166"/>
      <c r="C43" s="210" t="s">
        <v>1</v>
      </c>
      <c r="D43" s="211"/>
      <c r="E43" s="211"/>
      <c r="F43" s="210"/>
      <c r="G43" s="210" t="s">
        <v>332</v>
      </c>
      <c r="H43" s="210"/>
      <c r="I43" s="166"/>
      <c r="J43" s="216"/>
    </row>
    <row r="44" spans="1:27" x14ac:dyDescent="0.25">
      <c r="A44" s="215"/>
      <c r="B44" s="166"/>
      <c r="C44" s="196" t="s">
        <v>65</v>
      </c>
      <c r="D44" s="652"/>
      <c r="E44" s="651"/>
      <c r="F44" s="669"/>
      <c r="G44" s="441">
        <v>10</v>
      </c>
      <c r="H44" s="601"/>
      <c r="I44" s="166"/>
      <c r="J44" s="217"/>
    </row>
    <row r="45" spans="1:27" x14ac:dyDescent="0.25">
      <c r="A45" s="215"/>
      <c r="B45" s="166"/>
      <c r="C45" s="196" t="s">
        <v>66</v>
      </c>
      <c r="D45" s="16"/>
      <c r="E45" s="16"/>
      <c r="F45" s="600"/>
      <c r="G45" s="441">
        <v>250</v>
      </c>
      <c r="H45" s="601"/>
      <c r="I45" s="166"/>
      <c r="J45" s="217"/>
    </row>
    <row r="46" spans="1:27" x14ac:dyDescent="0.25">
      <c r="A46" s="215"/>
      <c r="B46" s="166"/>
      <c r="C46" s="196" t="s">
        <v>546</v>
      </c>
      <c r="D46" s="16"/>
      <c r="E46" s="16"/>
      <c r="F46" s="600"/>
      <c r="G46" s="581" t="str">
        <f>IF(G10="N",VLOOKUP(G14,OtherVariables!B276:C286,2,FALSE),"User-Defined")</f>
        <v>User-Defined</v>
      </c>
      <c r="H46" s="602"/>
      <c r="I46" s="166"/>
      <c r="J46" s="218"/>
      <c r="L46" s="438"/>
    </row>
    <row r="47" spans="1:27" s="248" customFormat="1" x14ac:dyDescent="0.25">
      <c r="A47" s="215"/>
      <c r="B47" s="166"/>
      <c r="C47" s="196" t="s">
        <v>547</v>
      </c>
      <c r="D47" s="16"/>
      <c r="E47" s="16"/>
      <c r="F47" s="600"/>
      <c r="G47" s="581" t="str">
        <f>IF(G10="N",VLOOKUP(G23,OtherVariables!B276:C286,2,FALSE),"User-Defined")</f>
        <v>User-Defined</v>
      </c>
      <c r="H47" s="602"/>
      <c r="I47" s="166"/>
      <c r="J47" s="218"/>
      <c r="K47" s="584"/>
      <c r="L47" s="371"/>
      <c r="M47" s="371"/>
      <c r="N47" s="526"/>
    </row>
    <row r="48" spans="1:27" s="248" customFormat="1" ht="15.75" x14ac:dyDescent="0.25">
      <c r="A48" s="215"/>
      <c r="B48" s="166"/>
      <c r="C48" s="196" t="s">
        <v>533</v>
      </c>
      <c r="D48" s="16"/>
      <c r="E48" s="16"/>
      <c r="F48" s="600"/>
      <c r="G48" s="581">
        <v>0.95</v>
      </c>
      <c r="H48" s="602"/>
      <c r="I48" s="166"/>
      <c r="J48" s="218"/>
      <c r="K48" s="553"/>
      <c r="L48" s="371"/>
      <c r="M48" s="371"/>
      <c r="N48" s="371"/>
    </row>
    <row r="49" spans="1:27" s="248" customFormat="1" x14ac:dyDescent="0.25">
      <c r="A49" s="215"/>
      <c r="B49" s="166"/>
      <c r="C49" s="196" t="s">
        <v>532</v>
      </c>
      <c r="D49" s="16"/>
      <c r="E49" s="16"/>
      <c r="F49" s="600"/>
      <c r="G49" s="581">
        <v>0.85</v>
      </c>
      <c r="H49" s="602"/>
      <c r="I49" s="166"/>
      <c r="J49" s="218"/>
      <c r="K49" s="371"/>
      <c r="L49" s="371"/>
      <c r="M49" s="371"/>
      <c r="N49" s="371"/>
    </row>
    <row r="50" spans="1:27" s="248" customFormat="1" x14ac:dyDescent="0.25">
      <c r="A50" s="215"/>
      <c r="B50" s="166"/>
      <c r="C50" s="196" t="s">
        <v>526</v>
      </c>
      <c r="D50" s="16"/>
      <c r="E50" s="16"/>
      <c r="F50" s="600"/>
      <c r="G50" s="583">
        <f>INDEX(Capacity2,MATCH(G14,INDEX(Capacity2,,1),0),MATCH(G8,INDEX(Capacity2,1,),0))</f>
        <v>1800</v>
      </c>
      <c r="H50" s="603"/>
      <c r="I50" s="166"/>
      <c r="J50" s="218"/>
      <c r="K50" s="371"/>
      <c r="L50" s="371"/>
      <c r="M50" s="371"/>
      <c r="N50" s="371"/>
    </row>
    <row r="51" spans="1:27" s="371" customFormat="1" x14ac:dyDescent="0.25">
      <c r="A51" s="215"/>
      <c r="B51" s="166"/>
      <c r="C51" s="196" t="s">
        <v>527</v>
      </c>
      <c r="D51" s="16"/>
      <c r="E51" s="16"/>
      <c r="F51" s="600"/>
      <c r="G51" s="583">
        <f>INDEX(Capacity2,MATCH(G14,INDEX(Capacity2,,1),0),MATCH(G8,INDEX(Capacity2,1,),0))</f>
        <v>1800</v>
      </c>
      <c r="H51" s="603"/>
      <c r="I51" s="166"/>
      <c r="J51" s="218"/>
      <c r="AA51" s="165"/>
    </row>
    <row r="52" spans="1:27" s="371" customFormat="1" x14ac:dyDescent="0.25">
      <c r="A52" s="215"/>
      <c r="B52" s="166"/>
      <c r="C52" s="63" t="s">
        <v>2</v>
      </c>
      <c r="D52" s="242"/>
      <c r="E52" s="242"/>
      <c r="F52" s="474"/>
      <c r="G52" s="474"/>
      <c r="H52" s="474"/>
      <c r="I52" s="20"/>
      <c r="J52" s="218"/>
      <c r="AA52" s="165"/>
    </row>
    <row r="53" spans="1:27" s="371" customFormat="1" x14ac:dyDescent="0.25">
      <c r="A53" s="170"/>
      <c r="B53" s="462"/>
      <c r="C53" s="194" t="s">
        <v>621</v>
      </c>
      <c r="D53" s="10">
        <f>'2015ER'!AG4</f>
        <v>3544.7317355931123</v>
      </c>
      <c r="E53" s="10">
        <f>'2025ER'!AG4</f>
        <v>2753.9732713183676</v>
      </c>
      <c r="F53" s="600"/>
      <c r="G53" s="588">
        <f>TREND(D53:E53,$D$7:$E$7,$G$7)</f>
        <v>3149.3525034557388</v>
      </c>
      <c r="H53" s="600"/>
      <c r="I53" s="20"/>
      <c r="J53" s="170"/>
      <c r="AA53" s="165"/>
    </row>
    <row r="54" spans="1:27" s="371" customFormat="1" x14ac:dyDescent="0.25">
      <c r="A54" s="170"/>
      <c r="B54" s="462"/>
      <c r="C54" s="194" t="s">
        <v>221</v>
      </c>
      <c r="D54" s="10">
        <f>'2015ER'!AG5</f>
        <v>1.5994820236445826</v>
      </c>
      <c r="E54" s="10">
        <f>'2025ER'!AG5</f>
        <v>0.35030066832913132</v>
      </c>
      <c r="F54" s="600"/>
      <c r="G54" s="588">
        <f t="shared" ref="G54:G66" si="2">TREND(D54:E54,$D$7:$E$7,$G$7)</f>
        <v>0.97489134598686178</v>
      </c>
      <c r="H54" s="600"/>
      <c r="I54" s="166"/>
      <c r="J54" s="170"/>
      <c r="AA54" s="165"/>
    </row>
    <row r="55" spans="1:27" s="371" customFormat="1" x14ac:dyDescent="0.25">
      <c r="A55" s="170"/>
      <c r="B55" s="462"/>
      <c r="C55" s="194" t="s">
        <v>220</v>
      </c>
      <c r="D55" s="10">
        <f>'2015ER'!AG6</f>
        <v>6.7381205742655201E-2</v>
      </c>
      <c r="E55" s="10">
        <f>'2025ER'!AG6</f>
        <v>4.4825042632683533E-2</v>
      </c>
      <c r="F55" s="600"/>
      <c r="G55" s="588">
        <f t="shared" si="2"/>
        <v>5.6103124187669273E-2</v>
      </c>
      <c r="H55" s="600"/>
      <c r="I55" s="166"/>
      <c r="J55" s="219"/>
      <c r="AA55" s="165"/>
    </row>
    <row r="56" spans="1:27" s="371" customFormat="1" x14ac:dyDescent="0.25">
      <c r="A56" s="170"/>
      <c r="B56" s="462"/>
      <c r="C56" s="194" t="s">
        <v>219</v>
      </c>
      <c r="D56" s="10">
        <f>'2015ER'!AG7</f>
        <v>3.0974722428626738</v>
      </c>
      <c r="E56" s="10">
        <f>'2025ER'!AG7</f>
        <v>0.6442430103564446</v>
      </c>
      <c r="F56" s="600"/>
      <c r="G56" s="588">
        <f t="shared" si="2"/>
        <v>1.8708576266095633</v>
      </c>
      <c r="H56" s="600"/>
      <c r="I56" s="462"/>
      <c r="J56" s="219"/>
      <c r="AA56" s="165"/>
    </row>
    <row r="57" spans="1:27" s="371" customFormat="1" x14ac:dyDescent="0.25">
      <c r="A57" s="170"/>
      <c r="B57" s="462"/>
      <c r="C57" s="194" t="s">
        <v>218</v>
      </c>
      <c r="D57" s="10">
        <f>'2015ER'!AG8</f>
        <v>3.4133004650001109</v>
      </c>
      <c r="E57" s="10">
        <f>'2025ER'!AG8</f>
        <v>1.3347788591030429</v>
      </c>
      <c r="F57" s="600"/>
      <c r="G57" s="588">
        <f t="shared" si="2"/>
        <v>2.3740396620515867</v>
      </c>
      <c r="H57" s="600"/>
      <c r="I57" s="462"/>
      <c r="J57" s="219"/>
      <c r="K57" s="248"/>
      <c r="M57" s="248"/>
      <c r="AA57" s="165"/>
    </row>
    <row r="58" spans="1:27" s="371" customFormat="1" x14ac:dyDescent="0.25">
      <c r="A58" s="170"/>
      <c r="B58" s="724"/>
      <c r="C58" s="193" t="s">
        <v>590</v>
      </c>
      <c r="D58" s="10">
        <f>'2015ER'!AG9</f>
        <v>6.9972905740586164E-2</v>
      </c>
      <c r="E58" s="10">
        <f>'2025ER'!AG9</f>
        <v>1.8676355513173839E-2</v>
      </c>
      <c r="F58" s="600"/>
      <c r="G58" s="703">
        <f t="shared" si="2"/>
        <v>4.4324630626880079E-2</v>
      </c>
      <c r="H58" s="600"/>
      <c r="I58" s="724"/>
      <c r="J58" s="219"/>
      <c r="K58" s="248"/>
      <c r="L58" s="248"/>
      <c r="M58" s="248"/>
      <c r="N58" s="248"/>
      <c r="AA58" s="165"/>
    </row>
    <row r="59" spans="1:27" s="371" customFormat="1" x14ac:dyDescent="0.25">
      <c r="A59" s="220"/>
      <c r="B59" s="724"/>
      <c r="C59" s="193" t="s">
        <v>591</v>
      </c>
      <c r="D59" s="10">
        <f>'2015ER'!AG10</f>
        <v>25.39188850897478</v>
      </c>
      <c r="E59" s="10">
        <f>'2025ER'!AG10</f>
        <v>5.9827421021261857</v>
      </c>
      <c r="F59" s="600"/>
      <c r="G59" s="703">
        <f t="shared" si="2"/>
        <v>15.687315305550328</v>
      </c>
      <c r="H59" s="600"/>
      <c r="I59" s="724"/>
      <c r="J59" s="219"/>
      <c r="K59" s="248"/>
      <c r="L59" s="248"/>
      <c r="M59" s="248"/>
      <c r="N59" s="248"/>
      <c r="AA59" s="165"/>
    </row>
    <row r="60" spans="1:27" s="371" customFormat="1" x14ac:dyDescent="0.25">
      <c r="A60" s="170"/>
      <c r="B60" s="462"/>
      <c r="C60" s="194" t="s">
        <v>626</v>
      </c>
      <c r="D60" s="126">
        <f>'2015ER'!AV4</f>
        <v>7701.2468158869069</v>
      </c>
      <c r="E60" s="123">
        <f>'2025ER'!AV4</f>
        <v>7457.3753954897356</v>
      </c>
      <c r="F60" s="600"/>
      <c r="G60" s="588">
        <f t="shared" si="2"/>
        <v>7579.3111056883208</v>
      </c>
      <c r="H60" s="600"/>
      <c r="I60" s="462"/>
      <c r="J60" s="219"/>
      <c r="K60" s="248"/>
      <c r="L60" s="248"/>
      <c r="M60" s="248"/>
      <c r="N60" s="248"/>
      <c r="AA60" s="165"/>
    </row>
    <row r="61" spans="1:27" s="371" customFormat="1" ht="15.75" x14ac:dyDescent="0.25">
      <c r="A61" s="170"/>
      <c r="B61" s="54"/>
      <c r="C61" s="194" t="s">
        <v>622</v>
      </c>
      <c r="D61" s="126">
        <f>'2015ER'!AV5</f>
        <v>63.977940800482273</v>
      </c>
      <c r="E61" s="123">
        <f>'2025ER'!AV5</f>
        <v>25.376077768462455</v>
      </c>
      <c r="F61" s="600"/>
      <c r="G61" s="588">
        <f t="shared" si="2"/>
        <v>44.677009284472661</v>
      </c>
      <c r="H61" s="600"/>
      <c r="I61" s="462"/>
      <c r="J61" s="220"/>
      <c r="K61" s="589"/>
      <c r="L61" s="248"/>
      <c r="N61" s="248"/>
      <c r="AA61" s="165"/>
    </row>
    <row r="62" spans="1:27" s="371" customFormat="1" ht="15.75" x14ac:dyDescent="0.25">
      <c r="A62" s="170"/>
      <c r="B62" s="462"/>
      <c r="C62" s="194" t="s">
        <v>623</v>
      </c>
      <c r="D62" s="126">
        <f>'2015ER'!AV6</f>
        <v>4.3247781712366908</v>
      </c>
      <c r="E62" s="123">
        <f>'2025ER'!AV6</f>
        <v>1.7042063606007158</v>
      </c>
      <c r="F62" s="600"/>
      <c r="G62" s="588">
        <f t="shared" si="2"/>
        <v>3.0144922659186477</v>
      </c>
      <c r="H62" s="600"/>
      <c r="I62" s="54"/>
      <c r="J62" s="220"/>
      <c r="K62" s="589"/>
      <c r="AA62" s="165"/>
    </row>
    <row r="63" spans="1:27" s="371" customFormat="1" ht="15.75" x14ac:dyDescent="0.25">
      <c r="A63" s="170"/>
      <c r="B63" s="462"/>
      <c r="C63" s="194" t="s">
        <v>624</v>
      </c>
      <c r="D63" s="126">
        <f>'2015ER'!AV7</f>
        <v>61.690827855331229</v>
      </c>
      <c r="E63" s="123">
        <f>'2025ER'!AV7</f>
        <v>24.28916155157938</v>
      </c>
      <c r="F63" s="600"/>
      <c r="G63" s="588">
        <f t="shared" si="2"/>
        <v>42.989994703455523</v>
      </c>
      <c r="H63" s="600"/>
      <c r="I63" s="54"/>
      <c r="J63" s="220"/>
      <c r="K63" s="589"/>
      <c r="AA63" s="165"/>
    </row>
    <row r="64" spans="1:27" s="371" customFormat="1" ht="15.75" x14ac:dyDescent="0.25">
      <c r="A64" s="170"/>
      <c r="B64" s="462"/>
      <c r="C64" s="194" t="s">
        <v>625</v>
      </c>
      <c r="D64" s="126">
        <f>'2015ER'!AV8</f>
        <v>10.430373024743488</v>
      </c>
      <c r="E64" s="123">
        <f>'2025ER'!AV8</f>
        <v>4.4697968378830852</v>
      </c>
      <c r="F64" s="600"/>
      <c r="G64" s="588">
        <f t="shared" si="2"/>
        <v>7.4500849313133131</v>
      </c>
      <c r="H64" s="600"/>
      <c r="I64" s="54"/>
      <c r="J64" s="220"/>
      <c r="K64" s="589"/>
      <c r="M64" s="530"/>
      <c r="AA64" s="165"/>
    </row>
    <row r="65" spans="1:27" s="371" customFormat="1" x14ac:dyDescent="0.25">
      <c r="A65" s="170"/>
      <c r="B65" s="724"/>
      <c r="C65" s="194" t="s">
        <v>593</v>
      </c>
      <c r="D65" s="126">
        <f>'2015ER'!AV9</f>
        <v>7.6596847381551092E-2</v>
      </c>
      <c r="E65" s="123">
        <f>'2025ER'!AV9</f>
        <v>6.3714295089789541E-2</v>
      </c>
      <c r="F65" s="600"/>
      <c r="G65" s="703">
        <f t="shared" si="2"/>
        <v>7.0155571235670511E-2</v>
      </c>
      <c r="H65" s="600"/>
      <c r="I65" s="54"/>
      <c r="J65" s="220"/>
      <c r="AA65" s="165"/>
    </row>
    <row r="66" spans="1:27" s="371" customFormat="1" x14ac:dyDescent="0.25">
      <c r="A66" s="170"/>
      <c r="B66" s="724"/>
      <c r="C66" s="194" t="s">
        <v>592</v>
      </c>
      <c r="D66" s="126">
        <f>'2015ER'!AV10</f>
        <v>22.994698616033428</v>
      </c>
      <c r="E66" s="123">
        <f>'2025ER'!AV10</f>
        <v>9.6956358189953917</v>
      </c>
      <c r="F66" s="600"/>
      <c r="G66" s="703">
        <f t="shared" si="2"/>
        <v>16.345167217514245</v>
      </c>
      <c r="H66" s="600"/>
      <c r="I66" s="54"/>
      <c r="J66" s="220"/>
      <c r="AA66" s="165"/>
    </row>
    <row r="67" spans="1:27" s="371" customFormat="1" x14ac:dyDescent="0.25">
      <c r="A67" s="170"/>
      <c r="B67" s="462"/>
      <c r="C67" s="145"/>
      <c r="D67" s="146"/>
      <c r="E67" s="146"/>
      <c r="F67" s="388"/>
      <c r="G67" s="388"/>
      <c r="H67" s="388"/>
      <c r="I67" s="54"/>
      <c r="J67" s="220"/>
      <c r="L67" s="575"/>
      <c r="AA67" s="165"/>
    </row>
    <row r="68" spans="1:27" s="371" customFormat="1" ht="15.75" x14ac:dyDescent="0.25">
      <c r="A68" s="170"/>
      <c r="B68" s="462"/>
      <c r="C68" s="223" t="s">
        <v>317</v>
      </c>
      <c r="D68" s="223"/>
      <c r="E68" s="223"/>
      <c r="F68" s="475"/>
      <c r="G68" s="475"/>
      <c r="H68" s="475"/>
      <c r="I68" s="224"/>
      <c r="J68" s="223"/>
      <c r="AA68" s="165"/>
    </row>
    <row r="69" spans="1:27" s="371" customFormat="1" ht="15.75" x14ac:dyDescent="0.25">
      <c r="A69" s="170"/>
      <c r="B69" s="462"/>
      <c r="C69" s="358" t="s">
        <v>548</v>
      </c>
      <c r="D69" s="357"/>
      <c r="E69" s="359"/>
      <c r="F69" s="358" t="s">
        <v>96</v>
      </c>
      <c r="G69" s="358" t="s">
        <v>530</v>
      </c>
      <c r="H69" s="358" t="s">
        <v>97</v>
      </c>
      <c r="I69" s="54"/>
      <c r="J69" s="220"/>
      <c r="L69" s="575"/>
      <c r="AA69" s="165"/>
    </row>
    <row r="70" spans="1:27" s="371" customFormat="1" x14ac:dyDescent="0.25">
      <c r="A70" s="170"/>
      <c r="B70" s="462"/>
      <c r="C70" s="193" t="s">
        <v>534</v>
      </c>
      <c r="D70" s="21"/>
      <c r="E70" s="21"/>
      <c r="F70" s="443">
        <f>G50*F17*F37*G48</f>
        <v>1145.7</v>
      </c>
      <c r="G70" s="443">
        <f>IF(AND(H17=OtherVariables!H274,G17=1),(G50*G17*G37*(1-(0.15*(H18/SUM(G18:H18))))),IF(AND(H17=OtherVariables!H274,G17&gt;1),
(G50*(G17-1)*G37)+(G50*G49*G37),G50*G37*G17))</f>
        <v>2412</v>
      </c>
      <c r="H70" s="443">
        <f>IF(H17="No Turns",0,IF(H17=OtherVariables!H274,0,G50*G49*H37*H17))</f>
        <v>0</v>
      </c>
      <c r="I70" s="54"/>
      <c r="J70" s="220"/>
      <c r="AA70" s="165"/>
    </row>
    <row r="71" spans="1:27" s="371" customFormat="1" x14ac:dyDescent="0.25">
      <c r="A71" s="170"/>
      <c r="B71" s="462"/>
      <c r="C71" s="193" t="s">
        <v>535</v>
      </c>
      <c r="D71" s="21"/>
      <c r="E71" s="21"/>
      <c r="F71" s="443">
        <f>G50*F20*F38*G48</f>
        <v>1145.7</v>
      </c>
      <c r="G71" s="443">
        <f>IF(AND(H20=OtherVariables!H274,G20=1),(G50*G20*G38*(1-(0.15*(H21/SUM(G21:H21))))),IF(AND(H20=OtherVariables!H274,G20&gt;1),
(G50*(G20-1)*G38)+(G50*G49*G38),G50*G38*G20))</f>
        <v>2412</v>
      </c>
      <c r="H71" s="443">
        <f>IF(H20="No Turns",0,IF(H20=OtherVariables!H274,0,G50*G49*H38*H20))</f>
        <v>0</v>
      </c>
      <c r="I71" s="54"/>
      <c r="J71" s="220"/>
      <c r="AA71" s="165"/>
    </row>
    <row r="72" spans="1:27" s="371" customFormat="1" x14ac:dyDescent="0.25">
      <c r="A72" s="170"/>
      <c r="B72" s="462"/>
      <c r="C72" s="193" t="s">
        <v>536</v>
      </c>
      <c r="D72" s="21"/>
      <c r="E72" s="21"/>
      <c r="F72" s="443">
        <f>G51*F26*F39*G48</f>
        <v>239.4</v>
      </c>
      <c r="G72" s="443">
        <f>IF(AND(H26=OtherVariables!H274,G26=1),(G51*G26*G39*(1-(0.15*(H27/SUM(G27:H27))))),IF(AND(H26=OtherVariables!H274,G26&gt;1),
(G51*(G26-1)*G39)+(G51*G49*G39),G51*G39*G26))</f>
        <v>466.20000000000005</v>
      </c>
      <c r="H72" s="443">
        <f>IF(H26="No Turns",0,IF(H26=OtherVariables!H274,0,G51*G49*H39*H26))</f>
        <v>0</v>
      </c>
      <c r="I72" s="54"/>
      <c r="J72" s="170"/>
      <c r="AA72" s="165"/>
    </row>
    <row r="73" spans="1:27" s="371" customFormat="1" x14ac:dyDescent="0.25">
      <c r="A73" s="170"/>
      <c r="B73" s="462"/>
      <c r="C73" s="193" t="s">
        <v>537</v>
      </c>
      <c r="D73" s="21"/>
      <c r="E73" s="21"/>
      <c r="F73" s="443">
        <f>G51*F29*F40*G48</f>
        <v>239.4</v>
      </c>
      <c r="G73" s="443">
        <f>IF(AND(H29=OtherVariables!H274,G29=1),(G51*G29*G40*(1-(0.15*(H30/SUM(G30:H30))))),IF(AND(H29=OtherVariables!H274,G29&gt;1),
(G51*(G29-1)*G40)+(G51*G49*G40),G51*G40*G29))</f>
        <v>466.20000000000005</v>
      </c>
      <c r="H73" s="443">
        <f>IF(H29="No Turns",0,IF(H29=OtherVariables!H274,0,G51*G49*H40*H29))</f>
        <v>0</v>
      </c>
      <c r="I73" s="462"/>
      <c r="J73" s="170"/>
      <c r="AA73" s="165"/>
    </row>
    <row r="74" spans="1:27" s="371" customFormat="1" x14ac:dyDescent="0.25">
      <c r="A74" s="170"/>
      <c r="B74" s="462"/>
      <c r="C74" s="187" t="s">
        <v>538</v>
      </c>
      <c r="D74" s="21"/>
      <c r="E74" s="21"/>
      <c r="F74" s="613">
        <f>IF(F70=0,"",F18/F70)</f>
        <v>0.39451863489569694</v>
      </c>
      <c r="G74" s="613">
        <f>IF(G70=0,"",IF(H17=OtherVariables!H274,(G18+H18)/G70,G18/G70))</f>
        <v>0.78772802653399665</v>
      </c>
      <c r="H74" s="613" t="str">
        <f>IF(H70=0,"",H18/H70)</f>
        <v/>
      </c>
      <c r="I74" s="462"/>
      <c r="J74" s="170"/>
      <c r="AA74" s="165"/>
    </row>
    <row r="75" spans="1:27" s="371" customFormat="1" x14ac:dyDescent="0.25">
      <c r="A75" s="170"/>
      <c r="B75" s="462"/>
      <c r="C75" s="187" t="s">
        <v>539</v>
      </c>
      <c r="D75" s="21"/>
      <c r="E75" s="21"/>
      <c r="F75" s="613">
        <f>IF(F71=0,"",F21/F71)</f>
        <v>0.49140263594309153</v>
      </c>
      <c r="G75" s="613">
        <f>IF(G71=0,"",IF(H20=OtherVariables!H274,(G21+H21)/G71,G21/G71))</f>
        <v>0.35820895522388058</v>
      </c>
      <c r="H75" s="613" t="str">
        <f>IF(H71=0,"",H21/H71)</f>
        <v/>
      </c>
      <c r="I75" s="462"/>
      <c r="J75" s="170"/>
      <c r="AA75" s="165"/>
    </row>
    <row r="76" spans="1:27" s="371" customFormat="1" x14ac:dyDescent="0.25">
      <c r="A76" s="170"/>
      <c r="B76" s="462"/>
      <c r="C76" s="187" t="s">
        <v>540</v>
      </c>
      <c r="D76" s="59"/>
      <c r="E76" s="59"/>
      <c r="F76" s="613">
        <f>IF(F72=0,"",F27/F72)</f>
        <v>2.7276524644945699</v>
      </c>
      <c r="G76" s="613">
        <f>IF(G72=0,"",IF(H26=OtherVariables!H274,(G27+H27)/G72,G27/G72))</f>
        <v>2.531102531102531</v>
      </c>
      <c r="H76" s="613" t="str">
        <f>IF(H72=0,"",H27/H72)</f>
        <v/>
      </c>
      <c r="I76" s="462"/>
      <c r="J76" s="170"/>
      <c r="AA76" s="165"/>
    </row>
    <row r="77" spans="1:27" s="371" customFormat="1" x14ac:dyDescent="0.25">
      <c r="A77" s="170"/>
      <c r="B77" s="462"/>
      <c r="C77" s="187" t="s">
        <v>541</v>
      </c>
      <c r="D77" s="59"/>
      <c r="E77" s="59"/>
      <c r="F77" s="613">
        <f>IF(F73=0,"",F30/F73)</f>
        <v>3.7468671679197993</v>
      </c>
      <c r="G77" s="613">
        <f>IF(G73=0,"",IF(H29=OtherVariables!H274,(G30+H30)/G73,G30/G73))</f>
        <v>1.8618618618618616</v>
      </c>
      <c r="H77" s="613" t="str">
        <f>IF(H73=0,"",H30/H73)</f>
        <v/>
      </c>
      <c r="I77" s="462"/>
      <c r="J77" s="170"/>
      <c r="AA77" s="165"/>
    </row>
    <row r="78" spans="1:27" s="371" customFormat="1" x14ac:dyDescent="0.25">
      <c r="A78" s="170"/>
      <c r="B78" s="462"/>
      <c r="C78" s="187" t="s">
        <v>542</v>
      </c>
      <c r="D78" s="59"/>
      <c r="E78" s="59"/>
      <c r="F78" s="613">
        <f>IF(F70=0,0,0.5*G9*(1-F37)^2/(1-(MIN(1,F74)*F37)))</f>
        <v>4.0707651033386316</v>
      </c>
      <c r="G78" s="613">
        <f>IF(G70=0,0,0.5*G9*(1-G37)^2/(1-(MIN(1,G74)*G37)))</f>
        <v>6.3418235294117631</v>
      </c>
      <c r="H78" s="613">
        <f>IF(H70=0,0,0.5*G9*(1-H37)^2/(1-(MIN(1,H70)*H37)))</f>
        <v>0</v>
      </c>
      <c r="I78" s="462"/>
      <c r="J78" s="170"/>
      <c r="AA78" s="165"/>
    </row>
    <row r="79" spans="1:27" s="371" customFormat="1" x14ac:dyDescent="0.25">
      <c r="A79" s="170"/>
      <c r="B79" s="462"/>
      <c r="C79" s="187" t="s">
        <v>543</v>
      </c>
      <c r="D79" s="59"/>
      <c r="E79" s="59"/>
      <c r="F79" s="613">
        <f>IF(F71=0,0,0.5*G9*(1-F38)^2/(1-(MIN(1,F75)*F38)))</f>
        <v>4.4647101133391445</v>
      </c>
      <c r="G79" s="613">
        <f>IF(G71=0,0,0.5*G9*(1-G38)^2/(1-(MIN(1,G75)*G38)))</f>
        <v>3.9404605263157886</v>
      </c>
      <c r="H79" s="613">
        <f>IF(H71=0,0,0.5*G9*(1-H38)^2/(1-(MIN(1,H75)*H38)))</f>
        <v>0</v>
      </c>
      <c r="I79" s="462"/>
      <c r="J79" s="170"/>
      <c r="M79" s="530"/>
      <c r="AA79" s="165"/>
    </row>
    <row r="80" spans="1:27" s="371" customFormat="1" x14ac:dyDescent="0.25">
      <c r="A80" s="170"/>
      <c r="B80" s="462"/>
      <c r="C80" s="187" t="s">
        <v>544</v>
      </c>
      <c r="D80" s="59"/>
      <c r="E80" s="59"/>
      <c r="F80" s="613">
        <f>IF(F72=0,0,0.5*G9*(1-F39)^2/(1-(MIN(1,F76)*F39)))</f>
        <v>23.65</v>
      </c>
      <c r="G80" s="613">
        <f>IF(G72=0,0,0.5*G9*(1-G39)^2/(1-(MIN(1,G76)*G39)))</f>
        <v>23.65</v>
      </c>
      <c r="H80" s="613">
        <f>IF(H72=0,0,0.5*G9*(1-H39)^2/(1-(MIN(1,H76)*H39)))</f>
        <v>0</v>
      </c>
      <c r="I80" s="462"/>
      <c r="J80" s="170"/>
      <c r="AA80" s="165"/>
    </row>
    <row r="81" spans="1:27" s="371" customFormat="1" ht="13.5" customHeight="1" x14ac:dyDescent="0.25">
      <c r="A81" s="221"/>
      <c r="B81" s="462"/>
      <c r="C81" s="187" t="s">
        <v>545</v>
      </c>
      <c r="D81" s="59"/>
      <c r="E81" s="59"/>
      <c r="F81" s="613">
        <f>IF(F73=0,0,0.5*G9*(1-F40)^2/(1-(MIN(1,F77)*F40)))</f>
        <v>23.65</v>
      </c>
      <c r="G81" s="613">
        <f>IF(G73=0,0,0.5*G9*(1-G40)^2/(1-(MIN(1,G77)*G40)))</f>
        <v>23.65</v>
      </c>
      <c r="H81" s="613">
        <f>IF(H73=0,0,0.5*G9*(1-H40)^2/(1-(MIN(1,H77)*H40)))</f>
        <v>0</v>
      </c>
      <c r="I81" s="462"/>
      <c r="J81" s="170"/>
      <c r="AA81" s="165"/>
    </row>
    <row r="82" spans="1:27" s="371" customFormat="1" x14ac:dyDescent="0.25">
      <c r="A82" s="221"/>
      <c r="B82" s="462"/>
      <c r="C82" s="358" t="s">
        <v>549</v>
      </c>
      <c r="D82" s="665"/>
      <c r="E82" s="665"/>
      <c r="F82" s="667"/>
      <c r="G82" s="619"/>
      <c r="H82" s="618"/>
      <c r="I82" s="462"/>
      <c r="J82" s="170"/>
      <c r="AA82" s="165"/>
    </row>
    <row r="83" spans="1:27" s="371" customFormat="1" x14ac:dyDescent="0.25">
      <c r="A83" s="221"/>
      <c r="B83" s="65"/>
      <c r="C83" s="193" t="s">
        <v>80</v>
      </c>
      <c r="D83" s="21"/>
      <c r="E83" s="21"/>
      <c r="F83" s="188"/>
      <c r="G83" s="613">
        <f>(G11*(SUM(F18:H18,F21:H21,F27:H27,F30:H30)))/3600</f>
        <v>40.983333333333334</v>
      </c>
      <c r="H83" s="614"/>
      <c r="I83" s="65"/>
      <c r="J83" s="221"/>
      <c r="L83" s="530"/>
      <c r="AA83" s="165"/>
    </row>
    <row r="84" spans="1:27" s="371" customFormat="1" x14ac:dyDescent="0.25">
      <c r="A84" s="221"/>
      <c r="B84" s="65"/>
      <c r="C84" s="193" t="s">
        <v>81</v>
      </c>
      <c r="D84" s="21"/>
      <c r="E84" s="21"/>
      <c r="F84" s="188"/>
      <c r="G84" s="613">
        <f>IF(G12="",((F78*F18+F79*F21+F80*F27+F81*F30)+
IF(H78=0,G78*SUM(G18:H18),(G78*G18+H78*H18))+
IF(H79=0,G79*SUM(G21:H21),(G79*G21+H79*H21))+
IF(H80=0,G80*SUM(G27:H27),(G80*G27+H80*H27))+
IF(H81=0,G81*SUM(G30:H30),(G81*G30+H81*H30)))/3600,(G12*SUM(F18:H18,F21:H21,F27:H27,F30:H30))/3600)</f>
        <v>29.138983394760608</v>
      </c>
      <c r="H84" s="614"/>
      <c r="I84" s="153"/>
      <c r="J84" s="221"/>
      <c r="AA84" s="165"/>
    </row>
    <row r="85" spans="1:27" s="371" customFormat="1" x14ac:dyDescent="0.25">
      <c r="A85" s="170"/>
      <c r="B85" s="65"/>
      <c r="C85" s="193" t="s">
        <v>418</v>
      </c>
      <c r="D85" s="21"/>
      <c r="E85" s="21"/>
      <c r="F85" s="616"/>
      <c r="G85" s="622">
        <f>(G15*SUM(F18:H18,F21:H21)+G24*SUM(F27:H27,F30:H30))/(SUM(F18:H18,F21:H21,F27:H27,F30:H30))</f>
        <v>3.4631964213094758E-2</v>
      </c>
      <c r="H85" s="614"/>
      <c r="I85" s="153"/>
      <c r="J85" s="221"/>
      <c r="AA85" s="165"/>
    </row>
    <row r="86" spans="1:27" s="371" customFormat="1" x14ac:dyDescent="0.25">
      <c r="A86" s="170"/>
      <c r="B86" s="65"/>
      <c r="C86" s="358" t="s">
        <v>522</v>
      </c>
      <c r="D86" s="666"/>
      <c r="E86" s="666"/>
      <c r="F86" s="590"/>
      <c r="G86" s="590"/>
      <c r="H86" s="590"/>
      <c r="I86" s="153"/>
      <c r="J86" s="221"/>
      <c r="AA86" s="165"/>
    </row>
    <row r="87" spans="1:27" s="371" customFormat="1" x14ac:dyDescent="0.25">
      <c r="A87" s="170"/>
      <c r="B87" s="65"/>
      <c r="C87" s="193" t="s">
        <v>204</v>
      </c>
      <c r="D87" s="617"/>
      <c r="E87" s="21"/>
      <c r="F87" s="616"/>
      <c r="G87" s="626">
        <f t="shared" ref="G87:G92" si="3">G$44*((G$83*(1-G$85)*G53)+(G$83*G$85*G60))</f>
        <v>1353585.5134272981</v>
      </c>
      <c r="H87" s="615"/>
      <c r="I87" s="148"/>
      <c r="J87" s="221"/>
      <c r="AA87" s="165"/>
    </row>
    <row r="88" spans="1:27" s="371" customFormat="1" x14ac:dyDescent="0.25">
      <c r="A88" s="170"/>
      <c r="B88" s="462"/>
      <c r="C88" s="193" t="s">
        <v>275</v>
      </c>
      <c r="D88" s="21"/>
      <c r="E88" s="21"/>
      <c r="F88" s="616"/>
      <c r="G88" s="446">
        <f t="shared" si="3"/>
        <v>1019.8216972371906</v>
      </c>
      <c r="H88" s="615"/>
      <c r="I88" s="65"/>
      <c r="J88" s="170"/>
      <c r="AA88" s="165"/>
    </row>
    <row r="89" spans="1:27" s="371" customFormat="1" x14ac:dyDescent="0.25">
      <c r="A89" s="170"/>
      <c r="B89" s="462"/>
      <c r="C89" s="193" t="s">
        <v>206</v>
      </c>
      <c r="D89" s="21"/>
      <c r="E89" s="21"/>
      <c r="F89" s="188"/>
      <c r="G89" s="446">
        <f t="shared" si="3"/>
        <v>64.982333614548153</v>
      </c>
      <c r="H89" s="615"/>
      <c r="I89" s="462"/>
      <c r="J89" s="170"/>
      <c r="AA89" s="165"/>
    </row>
    <row r="90" spans="1:27" s="371" customFormat="1" x14ac:dyDescent="0.25">
      <c r="A90" s="170"/>
      <c r="B90" s="462"/>
      <c r="C90" s="193" t="s">
        <v>276</v>
      </c>
      <c r="D90" s="21"/>
      <c r="E90" s="21"/>
      <c r="F90" s="188"/>
      <c r="G90" s="446">
        <f t="shared" si="3"/>
        <v>1350.3574362161864</v>
      </c>
      <c r="H90" s="615"/>
      <c r="I90" s="462"/>
      <c r="J90" s="170"/>
      <c r="AA90" s="165"/>
    </row>
    <row r="91" spans="1:27" s="371" customFormat="1" x14ac:dyDescent="0.25">
      <c r="A91" s="170"/>
      <c r="B91" s="462"/>
      <c r="C91" s="193" t="s">
        <v>205</v>
      </c>
      <c r="D91" s="21"/>
      <c r="E91" s="21"/>
      <c r="F91" s="188"/>
      <c r="G91" s="446">
        <f t="shared" si="3"/>
        <v>1045.0065906858633</v>
      </c>
      <c r="H91" s="615"/>
      <c r="I91" s="462"/>
      <c r="J91" s="170"/>
      <c r="AA91" s="165"/>
    </row>
    <row r="92" spans="1:27" s="371" customFormat="1" x14ac:dyDescent="0.25">
      <c r="A92" s="170"/>
      <c r="B92" s="724"/>
      <c r="C92" s="193" t="s">
        <v>594</v>
      </c>
      <c r="D92" s="21"/>
      <c r="E92" s="21"/>
      <c r="F92" s="188"/>
      <c r="G92" s="446">
        <f t="shared" si="3"/>
        <v>18.532338268957119</v>
      </c>
      <c r="H92" s="615"/>
      <c r="I92" s="724"/>
      <c r="J92" s="170"/>
      <c r="AA92" s="165"/>
    </row>
    <row r="93" spans="1:27" s="371" customFormat="1" x14ac:dyDescent="0.25">
      <c r="A93" s="170"/>
      <c r="B93" s="724"/>
      <c r="C93" s="193" t="s">
        <v>595</v>
      </c>
      <c r="D93" s="21"/>
      <c r="E93" s="21"/>
      <c r="F93" s="188"/>
      <c r="G93" s="446">
        <f t="shared" ref="G93" si="4">G$44*((G$83*(1-G$85)*G59)+(G$83*G$85*G66))</f>
        <v>6438.5218341951841</v>
      </c>
      <c r="H93" s="615"/>
      <c r="I93" s="724"/>
      <c r="J93" s="170"/>
      <c r="AA93" s="165"/>
    </row>
    <row r="94" spans="1:27" s="371" customFormat="1" x14ac:dyDescent="0.25">
      <c r="A94" s="170"/>
      <c r="B94" s="462"/>
      <c r="C94" s="193" t="s">
        <v>207</v>
      </c>
      <c r="D94" s="21"/>
      <c r="E94" s="21"/>
      <c r="F94" s="188"/>
      <c r="G94" s="446">
        <f t="shared" ref="G94:G99" si="5">G$44*((G$84*(1-G$85)*G53)+(G$84*G$85*G60))</f>
        <v>962393.79745782563</v>
      </c>
      <c r="H94" s="615"/>
      <c r="I94" s="462"/>
      <c r="J94" s="170"/>
      <c r="AA94" s="165"/>
    </row>
    <row r="95" spans="1:27" s="371" customFormat="1" x14ac:dyDescent="0.25">
      <c r="A95" s="170"/>
      <c r="B95" s="462"/>
      <c r="C95" s="193" t="s">
        <v>277</v>
      </c>
      <c r="D95" s="21"/>
      <c r="E95" s="21"/>
      <c r="F95" s="188"/>
      <c r="G95" s="446">
        <f t="shared" si="5"/>
        <v>725.0890809616368</v>
      </c>
      <c r="H95" s="615"/>
      <c r="I95" s="462"/>
      <c r="J95" s="170"/>
      <c r="AA95" s="165"/>
    </row>
    <row r="96" spans="1:27" s="371" customFormat="1" x14ac:dyDescent="0.25">
      <c r="A96" s="170"/>
      <c r="B96" s="462"/>
      <c r="C96" s="193" t="s">
        <v>209</v>
      </c>
      <c r="D96" s="21"/>
      <c r="E96" s="21"/>
      <c r="F96" s="188"/>
      <c r="G96" s="446">
        <f t="shared" si="5"/>
        <v>46.202175034089777</v>
      </c>
      <c r="H96" s="615"/>
      <c r="I96" s="462"/>
      <c r="J96" s="170"/>
      <c r="AA96" s="165"/>
    </row>
    <row r="97" spans="1:27" s="371" customFormat="1" x14ac:dyDescent="0.25">
      <c r="A97" s="170"/>
      <c r="B97" s="462"/>
      <c r="C97" s="193" t="s">
        <v>278</v>
      </c>
      <c r="D97" s="21"/>
      <c r="E97" s="21"/>
      <c r="F97" s="188"/>
      <c r="G97" s="446">
        <f t="shared" si="5"/>
        <v>960.09864768348848</v>
      </c>
      <c r="H97" s="615"/>
      <c r="I97" s="462"/>
      <c r="J97" s="170"/>
      <c r="AA97" s="165"/>
    </row>
    <row r="98" spans="1:27" s="371" customFormat="1" x14ac:dyDescent="0.25">
      <c r="A98" s="170"/>
      <c r="B98" s="462"/>
      <c r="C98" s="193" t="s">
        <v>208</v>
      </c>
      <c r="D98" s="21"/>
      <c r="E98" s="21"/>
      <c r="F98" s="188"/>
      <c r="G98" s="446">
        <f t="shared" si="5"/>
        <v>742.99543782214164</v>
      </c>
      <c r="H98" s="615"/>
      <c r="I98" s="462"/>
      <c r="J98" s="170"/>
      <c r="AA98" s="165"/>
    </row>
    <row r="99" spans="1:27" x14ac:dyDescent="0.25">
      <c r="A99" s="170"/>
      <c r="B99" s="724"/>
      <c r="C99" s="196" t="s">
        <v>596</v>
      </c>
      <c r="D99" s="21"/>
      <c r="E99" s="21"/>
      <c r="F99" s="188"/>
      <c r="G99" s="446">
        <f t="shared" si="5"/>
        <v>13.176417171660708</v>
      </c>
      <c r="H99" s="615"/>
      <c r="I99" s="724"/>
      <c r="J99" s="170"/>
    </row>
    <row r="100" spans="1:27" x14ac:dyDescent="0.25">
      <c r="A100" s="170"/>
      <c r="B100" s="724"/>
      <c r="C100" s="196" t="s">
        <v>597</v>
      </c>
      <c r="D100" s="21"/>
      <c r="E100" s="21"/>
      <c r="F100" s="188"/>
      <c r="G100" s="446">
        <f t="shared" ref="G100" si="6">G$44*((G$84*(1-G$85)*G59)+(G$84*G$85*G66))</f>
        <v>4577.7628502663792</v>
      </c>
      <c r="H100" s="615"/>
      <c r="I100" s="724"/>
      <c r="J100" s="170"/>
    </row>
    <row r="101" spans="1:27" x14ac:dyDescent="0.25">
      <c r="A101" s="170"/>
      <c r="B101" s="462"/>
      <c r="C101" s="23"/>
      <c r="D101" s="44"/>
      <c r="E101" s="44"/>
      <c r="F101" s="44"/>
      <c r="G101" s="44"/>
      <c r="H101" s="44"/>
      <c r="I101" s="462"/>
      <c r="J101" s="170"/>
    </row>
    <row r="102" spans="1:27" ht="15.75" x14ac:dyDescent="0.25">
      <c r="A102" s="170"/>
      <c r="B102" s="462"/>
      <c r="C102" s="887" t="s">
        <v>318</v>
      </c>
      <c r="D102" s="887"/>
      <c r="E102" s="887"/>
      <c r="F102" s="887"/>
      <c r="G102" s="586"/>
      <c r="H102" s="586"/>
      <c r="I102" s="462"/>
      <c r="J102" s="170"/>
    </row>
    <row r="103" spans="1:27" ht="15.75" thickBot="1" x14ac:dyDescent="0.3">
      <c r="A103" s="170"/>
      <c r="B103" s="462"/>
      <c r="C103" s="167" t="s">
        <v>319</v>
      </c>
      <c r="D103" s="624"/>
      <c r="E103" s="624"/>
      <c r="F103" s="624"/>
      <c r="G103" s="44"/>
      <c r="H103" s="44"/>
      <c r="I103" s="462"/>
      <c r="J103" s="170"/>
    </row>
    <row r="104" spans="1:27" x14ac:dyDescent="0.25">
      <c r="A104" s="170"/>
      <c r="B104" s="180"/>
      <c r="C104" s="918" t="s">
        <v>116</v>
      </c>
      <c r="D104" s="919"/>
      <c r="E104" s="919"/>
      <c r="F104" s="920"/>
      <c r="G104" s="933">
        <f>(G83*G44*G45)-(G84*G44*G45)</f>
        <v>29610.874846431834</v>
      </c>
      <c r="H104" s="934"/>
      <c r="I104" s="462"/>
      <c r="J104" s="170"/>
    </row>
    <row r="105" spans="1:27" ht="15.75" thickBot="1" x14ac:dyDescent="0.3">
      <c r="A105" s="170"/>
      <c r="B105" s="180"/>
      <c r="C105" s="921" t="s">
        <v>49</v>
      </c>
      <c r="D105" s="922"/>
      <c r="E105" s="922"/>
      <c r="F105" s="923"/>
      <c r="G105" s="935" t="s">
        <v>187</v>
      </c>
      <c r="H105" s="936"/>
      <c r="I105" s="462"/>
      <c r="J105" s="170"/>
    </row>
    <row r="106" spans="1:27" x14ac:dyDescent="0.25">
      <c r="A106" s="170"/>
      <c r="B106" s="462"/>
      <c r="C106" s="23"/>
      <c r="D106" s="44"/>
      <c r="E106" s="44"/>
      <c r="F106" s="44"/>
      <c r="G106" s="44"/>
      <c r="H106" s="44"/>
      <c r="I106" s="462"/>
      <c r="J106" s="170"/>
    </row>
    <row r="107" spans="1:27" ht="15.75" thickBot="1" x14ac:dyDescent="0.3">
      <c r="A107" s="170"/>
      <c r="B107" s="724"/>
      <c r="C107" s="808" t="s">
        <v>329</v>
      </c>
      <c r="D107" s="2"/>
      <c r="E107" s="591"/>
      <c r="F107" s="35"/>
      <c r="G107" s="35"/>
      <c r="H107" s="591"/>
      <c r="I107" s="724"/>
      <c r="J107" s="170"/>
    </row>
    <row r="108" spans="1:27" x14ac:dyDescent="0.25">
      <c r="A108" s="170"/>
      <c r="B108" s="2"/>
      <c r="C108" s="896" t="s">
        <v>701</v>
      </c>
      <c r="D108" s="897"/>
      <c r="E108" s="897"/>
      <c r="F108" s="898"/>
      <c r="G108" s="937">
        <f>((G$87-G$94)*G$45)/1000</f>
        <v>97797.928992368106</v>
      </c>
      <c r="H108" s="938"/>
      <c r="I108" s="724"/>
      <c r="J108" s="170"/>
    </row>
    <row r="109" spans="1:27" x14ac:dyDescent="0.25">
      <c r="A109" s="170"/>
      <c r="B109" s="2"/>
      <c r="C109" s="893" t="s">
        <v>702</v>
      </c>
      <c r="D109" s="894"/>
      <c r="E109" s="894"/>
      <c r="F109" s="895"/>
      <c r="G109" s="939">
        <f>((G$88-G$95)*G$45)/1000</f>
        <v>73.683154068888456</v>
      </c>
      <c r="H109" s="940"/>
      <c r="I109" s="724"/>
      <c r="J109" s="170"/>
    </row>
    <row r="110" spans="1:27" x14ac:dyDescent="0.25">
      <c r="A110" s="170"/>
      <c r="B110" s="2"/>
      <c r="C110" s="893" t="s">
        <v>703</v>
      </c>
      <c r="D110" s="894"/>
      <c r="E110" s="894"/>
      <c r="F110" s="895"/>
      <c r="G110" s="939">
        <f>((G$89-G$96)*G$45)/1000</f>
        <v>4.6950396451145942</v>
      </c>
      <c r="H110" s="940"/>
      <c r="I110" s="724"/>
      <c r="J110" s="170"/>
    </row>
    <row r="111" spans="1:27" x14ac:dyDescent="0.25">
      <c r="A111" s="170"/>
      <c r="B111" s="2"/>
      <c r="C111" s="924" t="s">
        <v>704</v>
      </c>
      <c r="D111" s="925"/>
      <c r="E111" s="925"/>
      <c r="F111" s="926"/>
      <c r="G111" s="939">
        <f>((G$90-G$97)*G$45)/1000</f>
        <v>97.564697133174491</v>
      </c>
      <c r="H111" s="940"/>
      <c r="I111" s="724"/>
      <c r="J111" s="170"/>
    </row>
    <row r="112" spans="1:27" x14ac:dyDescent="0.25">
      <c r="A112" s="170"/>
      <c r="B112" s="2"/>
      <c r="C112" s="924" t="s">
        <v>705</v>
      </c>
      <c r="D112" s="925"/>
      <c r="E112" s="925"/>
      <c r="F112" s="926"/>
      <c r="G112" s="939">
        <f>((G$91-G$98)*G$45)/1000</f>
        <v>75.502788215930423</v>
      </c>
      <c r="H112" s="940"/>
      <c r="I112" s="724"/>
      <c r="J112" s="170"/>
    </row>
    <row r="113" spans="1:27" x14ac:dyDescent="0.25">
      <c r="A113" s="170"/>
      <c r="B113" s="2"/>
      <c r="C113" s="924" t="s">
        <v>706</v>
      </c>
      <c r="D113" s="925"/>
      <c r="E113" s="925"/>
      <c r="F113" s="926"/>
      <c r="G113" s="939">
        <f>((G$92-G$99)*G$45)/1000</f>
        <v>1.3389802743241028</v>
      </c>
      <c r="H113" s="940"/>
      <c r="I113" s="724"/>
      <c r="J113" s="170"/>
    </row>
    <row r="114" spans="1:27" ht="15.75" thickBot="1" x14ac:dyDescent="0.3">
      <c r="A114" s="170"/>
      <c r="B114" s="2"/>
      <c r="C114" s="818"/>
      <c r="D114" s="819"/>
      <c r="E114" s="819"/>
      <c r="F114" s="788" t="s">
        <v>707</v>
      </c>
      <c r="G114" s="941">
        <f>((G$93-G$100)*G$45)/1000</f>
        <v>465.1897459822012</v>
      </c>
      <c r="H114" s="942"/>
      <c r="I114" s="724"/>
      <c r="J114" s="170"/>
    </row>
    <row r="115" spans="1:27" x14ac:dyDescent="0.25">
      <c r="A115" s="170"/>
      <c r="B115" s="2"/>
      <c r="C115" s="896" t="s">
        <v>722</v>
      </c>
      <c r="D115" s="897"/>
      <c r="E115" s="897"/>
      <c r="F115" s="898"/>
      <c r="G115" s="943">
        <f>(G$87-G$94)/1000</f>
        <v>391.1917159694724</v>
      </c>
      <c r="H115" s="944"/>
      <c r="I115" s="724"/>
      <c r="J115" s="170"/>
    </row>
    <row r="116" spans="1:27" x14ac:dyDescent="0.25">
      <c r="A116" s="170"/>
      <c r="B116" s="2"/>
      <c r="C116" s="924" t="s">
        <v>723</v>
      </c>
      <c r="D116" s="925"/>
      <c r="E116" s="925"/>
      <c r="F116" s="926"/>
      <c r="G116" s="945">
        <f>((G$88-G$95))/1000</f>
        <v>0.2947326162755538</v>
      </c>
      <c r="H116" s="946"/>
      <c r="I116" s="724"/>
      <c r="J116" s="170"/>
    </row>
    <row r="117" spans="1:27" x14ac:dyDescent="0.25">
      <c r="A117" s="170"/>
      <c r="B117" s="2"/>
      <c r="C117" s="924" t="s">
        <v>724</v>
      </c>
      <c r="D117" s="925"/>
      <c r="E117" s="925"/>
      <c r="F117" s="926"/>
      <c r="G117" s="945">
        <f>((G$89-G$96))/1000</f>
        <v>1.8780158580458377E-2</v>
      </c>
      <c r="H117" s="946"/>
      <c r="I117" s="724"/>
      <c r="J117" s="170"/>
    </row>
    <row r="118" spans="1:27" x14ac:dyDescent="0.25">
      <c r="A118" s="170"/>
      <c r="B118" s="2"/>
      <c r="C118" s="893" t="s">
        <v>725</v>
      </c>
      <c r="D118" s="894"/>
      <c r="E118" s="894"/>
      <c r="F118" s="895"/>
      <c r="G118" s="945">
        <f>((G$90-G$97))/1000</f>
        <v>0.39025878853269796</v>
      </c>
      <c r="H118" s="946"/>
      <c r="I118" s="724"/>
      <c r="J118" s="170"/>
    </row>
    <row r="119" spans="1:27" x14ac:dyDescent="0.25">
      <c r="A119" s="170"/>
      <c r="B119" s="2"/>
      <c r="C119" s="893" t="s">
        <v>726</v>
      </c>
      <c r="D119" s="894"/>
      <c r="E119" s="894"/>
      <c r="F119" s="895"/>
      <c r="G119" s="945">
        <f>((G$91-G$98))/1000</f>
        <v>0.30201115286372171</v>
      </c>
      <c r="H119" s="946"/>
      <c r="I119" s="724"/>
      <c r="J119" s="170"/>
    </row>
    <row r="120" spans="1:27" x14ac:dyDescent="0.25">
      <c r="A120" s="170"/>
      <c r="B120" s="2"/>
      <c r="C120" s="924" t="s">
        <v>727</v>
      </c>
      <c r="D120" s="925"/>
      <c r="E120" s="925"/>
      <c r="F120" s="926"/>
      <c r="G120" s="945">
        <f>((G$92-G$99))/1000</f>
        <v>5.355921097296411E-3</v>
      </c>
      <c r="H120" s="946"/>
      <c r="I120" s="724"/>
      <c r="J120" s="170"/>
    </row>
    <row r="121" spans="1:27" ht="17.25" customHeight="1" thickBot="1" x14ac:dyDescent="0.3">
      <c r="A121" s="170"/>
      <c r="B121" s="2"/>
      <c r="C121" s="927" t="s">
        <v>728</v>
      </c>
      <c r="D121" s="928"/>
      <c r="E121" s="928"/>
      <c r="F121" s="929"/>
      <c r="G121" s="951">
        <f>((G$93-G$100))/1000</f>
        <v>1.8607589839288048</v>
      </c>
      <c r="H121" s="952"/>
      <c r="I121" s="724"/>
      <c r="J121" s="170"/>
    </row>
    <row r="122" spans="1:27" s="371" customFormat="1" ht="15.75" thickBot="1" x14ac:dyDescent="0.3">
      <c r="A122" s="170"/>
      <c r="B122" s="724"/>
      <c r="C122" s="145"/>
      <c r="D122" s="146"/>
      <c r="E122" s="146"/>
      <c r="F122" s="388"/>
      <c r="G122" s="388"/>
      <c r="H122" s="388"/>
      <c r="I122" s="54"/>
      <c r="J122" s="220"/>
      <c r="L122" s="575"/>
      <c r="AA122" s="165"/>
    </row>
    <row r="123" spans="1:27" ht="16.5" customHeight="1" x14ac:dyDescent="0.25">
      <c r="A123" s="170"/>
      <c r="B123" s="2"/>
      <c r="C123" s="896" t="s">
        <v>715</v>
      </c>
      <c r="D123" s="897"/>
      <c r="E123" s="897"/>
      <c r="F123" s="898"/>
      <c r="G123" s="953">
        <v>995200</v>
      </c>
      <c r="H123" s="954"/>
      <c r="I123" s="724"/>
      <c r="J123" s="170"/>
    </row>
    <row r="124" spans="1:27" x14ac:dyDescent="0.25">
      <c r="A124" s="170"/>
      <c r="B124" s="2"/>
      <c r="C124" s="924" t="s">
        <v>716</v>
      </c>
      <c r="D124" s="925"/>
      <c r="E124" s="925"/>
      <c r="F124" s="926"/>
      <c r="G124" s="955">
        <v>20</v>
      </c>
      <c r="H124" s="956"/>
      <c r="I124" s="724"/>
      <c r="J124" s="170"/>
    </row>
    <row r="125" spans="1:27" x14ac:dyDescent="0.25">
      <c r="A125" s="170"/>
      <c r="B125" s="2"/>
      <c r="C125" s="893" t="s">
        <v>717</v>
      </c>
      <c r="D125" s="894"/>
      <c r="E125" s="894"/>
      <c r="F125" s="895"/>
      <c r="G125" s="947">
        <f>(G$123/G$124)/G109</f>
        <v>675.32396826387173</v>
      </c>
      <c r="H125" s="948"/>
      <c r="I125" s="724"/>
      <c r="J125" s="170"/>
    </row>
    <row r="126" spans="1:27" x14ac:dyDescent="0.25">
      <c r="A126" s="170"/>
      <c r="B126" s="2"/>
      <c r="C126" s="893" t="s">
        <v>718</v>
      </c>
      <c r="D126" s="894"/>
      <c r="E126" s="894"/>
      <c r="F126" s="895"/>
      <c r="G126" s="947">
        <f>(G$123/G$124)/G110</f>
        <v>10598.419557921641</v>
      </c>
      <c r="H126" s="948"/>
      <c r="I126" s="724"/>
      <c r="J126" s="170"/>
    </row>
    <row r="127" spans="1:27" x14ac:dyDescent="0.25">
      <c r="A127" s="170"/>
      <c r="B127" s="2"/>
      <c r="C127" s="924" t="s">
        <v>719</v>
      </c>
      <c r="D127" s="925"/>
      <c r="E127" s="925"/>
      <c r="F127" s="926"/>
      <c r="G127" s="947">
        <f>(G$123/G$124/G$45)/G118</f>
        <v>510.02054495263047</v>
      </c>
      <c r="H127" s="948"/>
      <c r="I127" s="724"/>
      <c r="J127" s="170"/>
    </row>
    <row r="128" spans="1:27" x14ac:dyDescent="0.25">
      <c r="A128" s="170"/>
      <c r="B128" s="2"/>
      <c r="C128" s="924" t="s">
        <v>720</v>
      </c>
      <c r="D128" s="925"/>
      <c r="E128" s="925"/>
      <c r="F128" s="926"/>
      <c r="G128" s="947">
        <f>(G$123/G$124/G$45)/G119</f>
        <v>659.04850901255952</v>
      </c>
      <c r="H128" s="948"/>
      <c r="I128" s="724"/>
      <c r="J128" s="170"/>
    </row>
    <row r="129" spans="1:10" ht="17.25" customHeight="1" thickBot="1" x14ac:dyDescent="0.3">
      <c r="A129" s="170"/>
      <c r="B129" s="2"/>
      <c r="C129" s="930" t="s">
        <v>721</v>
      </c>
      <c r="D129" s="931"/>
      <c r="E129" s="931"/>
      <c r="F129" s="932"/>
      <c r="G129" s="949">
        <f>(G$123/G$124/G$45)/G121</f>
        <v>106.96710413282386</v>
      </c>
      <c r="H129" s="950"/>
      <c r="I129" s="724"/>
      <c r="J129" s="170"/>
    </row>
    <row r="130" spans="1:10" ht="16.5" x14ac:dyDescent="0.3">
      <c r="A130" s="170"/>
      <c r="B130" s="724"/>
      <c r="C130" s="52"/>
      <c r="D130" s="166"/>
      <c r="E130" s="35"/>
      <c r="F130" s="591"/>
      <c r="G130" s="591"/>
      <c r="H130" s="591"/>
      <c r="I130" s="724"/>
      <c r="J130" s="170"/>
    </row>
    <row r="131" spans="1:10" x14ac:dyDescent="0.25">
      <c r="A131" s="170"/>
      <c r="B131" s="170"/>
      <c r="C131" s="170"/>
      <c r="D131" s="215"/>
      <c r="E131" s="222"/>
      <c r="F131" s="222"/>
      <c r="G131" s="222"/>
      <c r="H131" s="222"/>
      <c r="I131" s="170"/>
      <c r="J131" s="170"/>
    </row>
  </sheetData>
  <mergeCells count="52">
    <mergeCell ref="G126:H126"/>
    <mergeCell ref="G127:H127"/>
    <mergeCell ref="G128:H128"/>
    <mergeCell ref="G129:H129"/>
    <mergeCell ref="G120:H120"/>
    <mergeCell ref="G121:H121"/>
    <mergeCell ref="G123:H123"/>
    <mergeCell ref="G124:H124"/>
    <mergeCell ref="G125:H125"/>
    <mergeCell ref="C128:F128"/>
    <mergeCell ref="C129:F129"/>
    <mergeCell ref="G104:H104"/>
    <mergeCell ref="G105:H105"/>
    <mergeCell ref="G108:H108"/>
    <mergeCell ref="G109:H109"/>
    <mergeCell ref="G110:H110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C123:F123"/>
    <mergeCell ref="C124:F124"/>
    <mergeCell ref="C125:F125"/>
    <mergeCell ref="C126:F126"/>
    <mergeCell ref="C127:F127"/>
    <mergeCell ref="C117:F117"/>
    <mergeCell ref="C118:F118"/>
    <mergeCell ref="C119:F119"/>
    <mergeCell ref="C120:F120"/>
    <mergeCell ref="C121:F121"/>
    <mergeCell ref="C111:F111"/>
    <mergeCell ref="C112:F112"/>
    <mergeCell ref="C113:F113"/>
    <mergeCell ref="C115:F115"/>
    <mergeCell ref="C116:F116"/>
    <mergeCell ref="C104:F104"/>
    <mergeCell ref="C105:F105"/>
    <mergeCell ref="C108:F108"/>
    <mergeCell ref="C109:F109"/>
    <mergeCell ref="C110:F110"/>
    <mergeCell ref="C3:H3"/>
    <mergeCell ref="C5:F5"/>
    <mergeCell ref="C13:H13"/>
    <mergeCell ref="C22:H22"/>
    <mergeCell ref="C102:F102"/>
    <mergeCell ref="C36:H36"/>
    <mergeCell ref="C31:H31"/>
  </mergeCells>
  <conditionalFormatting sqref="C36:H36">
    <cfRule type="expression" dxfId="14" priority="13">
      <formula>$G$10="N"</formula>
    </cfRule>
  </conditionalFormatting>
  <conditionalFormatting sqref="D37:H40">
    <cfRule type="expression" dxfId="13" priority="12">
      <formula>$G$10="N"</formula>
    </cfRule>
  </conditionalFormatting>
  <conditionalFormatting sqref="C31:H31">
    <cfRule type="expression" dxfId="12" priority="11">
      <formula>$G$10="N"</formula>
    </cfRule>
  </conditionalFormatting>
  <conditionalFormatting sqref="C32:H35">
    <cfRule type="expression" dxfId="11" priority="4">
      <formula>$G$12&gt;0</formula>
    </cfRule>
    <cfRule type="expression" dxfId="10" priority="10">
      <formula>$G$10="N"</formula>
    </cfRule>
  </conditionalFormatting>
  <conditionalFormatting sqref="C37:C40">
    <cfRule type="expression" dxfId="9" priority="9">
      <formula>$G$10="N"</formula>
    </cfRule>
  </conditionalFormatting>
  <conditionalFormatting sqref="C37:H40">
    <cfRule type="expression" dxfId="8" priority="7">
      <formula>$G$12&gt;0</formula>
    </cfRule>
  </conditionalFormatting>
  <conditionalFormatting sqref="C36:H36 C31:H31">
    <cfRule type="expression" dxfId="7" priority="6">
      <formula>$G$12&gt;0</formula>
    </cfRule>
  </conditionalFormatting>
  <conditionalFormatting sqref="C17 C23 C14 C20 C26 C29">
    <cfRule type="expression" dxfId="6" priority="2">
      <formula>$G$12&gt;0</formula>
    </cfRule>
  </conditionalFormatting>
  <conditionalFormatting sqref="F29:H29 F26:H26 F20:H20 F17:H17">
    <cfRule type="expression" dxfId="5" priority="1">
      <formula>$G$12&gt;0</formula>
    </cfRule>
  </conditionalFormatting>
  <dataValidations count="1">
    <dataValidation type="list" allowBlank="1" showInputMessage="1" showErrorMessage="1" sqref="D16:E16 D28:E28 D25:E25 D19:E19 D23:E23">
      <formula1>$B$28:$B$28</formula1>
    </dataValidation>
  </dataValidations>
  <printOptions headings="1" gridLines="1"/>
  <pageMargins left="0.7" right="0.7" top="0.75" bottom="0.75" header="0.3" footer="0.3"/>
  <pageSetup paperSize="17" scale="5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OtherVariables!$H$274:$H$278</xm:f>
          </x14:formula1>
          <xm:sqref>H20 H26 H17 H29</xm:sqref>
        </x14:dataValidation>
        <x14:dataValidation type="list" allowBlank="1" showInputMessage="1" showErrorMessage="1">
          <x14:formula1>
            <xm:f>OtherVariables!$C$12:$G$12</xm:f>
          </x14:formula1>
          <xm:sqref>G8</xm:sqref>
        </x14:dataValidation>
        <x14:dataValidation type="list" allowBlank="1" showInputMessage="1" showErrorMessage="1">
          <x14:formula1>
            <xm:f>OtherVariables!$B$24:$B$24</xm:f>
          </x14:formula1>
          <xm:sqref>D14:E14</xm:sqref>
        </x14:dataValidation>
        <x14:dataValidation type="list" allowBlank="1" showInputMessage="1" showErrorMessage="1">
          <x14:formula1>
            <xm:f>OtherVariables!$C$12:$I$12</xm:f>
          </x14:formula1>
          <xm:sqref>D8:E8</xm:sqref>
        </x14:dataValidation>
        <x14:dataValidation type="list" allowBlank="1" showInputMessage="1" showErrorMessage="1">
          <x14:formula1>
            <xm:f>OtherVariables!$A$265:$A$266</xm:f>
          </x14:formula1>
          <xm:sqref>G10</xm:sqref>
        </x14:dataValidation>
        <x14:dataValidation type="list" allowBlank="1" showInputMessage="1" showErrorMessage="1">
          <x14:formula1>
            <xm:f>OtherVariables!$P$24:$P$34</xm:f>
          </x14:formula1>
          <xm:sqref>G7</xm:sqref>
        </x14:dataValidation>
        <x14:dataValidation type="list" allowBlank="1" showInputMessage="1" showErrorMessage="1">
          <x14:formula1>
            <xm:f>OtherVariables!$I$14:$I$20</xm:f>
          </x14:formula1>
          <xm:sqref>G14 G23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2:P143"/>
  <sheetViews>
    <sheetView zoomScale="85" zoomScaleNormal="85" workbookViewId="0">
      <selection activeCell="C1" sqref="C1"/>
    </sheetView>
  </sheetViews>
  <sheetFormatPr defaultRowHeight="15" x14ac:dyDescent="0.25"/>
  <cols>
    <col min="1" max="1" width="2.42578125" style="423" customWidth="1"/>
    <col min="2" max="2" width="1.85546875" style="423" customWidth="1"/>
    <col min="3" max="3" width="53.5703125" style="423" customWidth="1"/>
    <col min="4" max="4" width="15.7109375" style="423" customWidth="1"/>
    <col min="5" max="5" width="21.28515625" style="423" customWidth="1"/>
    <col min="6" max="6" width="17" style="424" customWidth="1"/>
    <col min="7" max="7" width="13.42578125" style="423" customWidth="1"/>
    <col min="8" max="8" width="11.7109375" style="423" customWidth="1"/>
    <col min="9" max="9" width="14.42578125" style="423" customWidth="1"/>
    <col min="10" max="10" width="1.7109375" style="423" customWidth="1"/>
    <col min="11" max="11" width="2.140625" style="423" customWidth="1"/>
    <col min="12" max="12" width="11" style="423" customWidth="1"/>
    <col min="13" max="13" width="9.140625" style="423"/>
    <col min="14" max="14" width="10.5703125" style="423" bestFit="1" customWidth="1"/>
    <col min="15" max="16384" width="9.140625" style="423"/>
  </cols>
  <sheetData>
    <row r="2" spans="1:11" ht="15.75" x14ac:dyDescent="0.25">
      <c r="A2" s="170"/>
      <c r="B2" s="170"/>
      <c r="C2" s="170"/>
      <c r="D2" s="170"/>
      <c r="E2" s="170"/>
      <c r="F2" s="170"/>
      <c r="G2" s="170"/>
      <c r="H2" s="189"/>
      <c r="I2" s="189"/>
      <c r="J2" s="170"/>
      <c r="K2" s="170"/>
    </row>
    <row r="3" spans="1:11" ht="10.5" customHeight="1" x14ac:dyDescent="0.25">
      <c r="A3" s="170"/>
      <c r="B3" s="171"/>
      <c r="C3" s="171"/>
      <c r="D3" s="171"/>
      <c r="E3" s="171"/>
      <c r="F3" s="171"/>
      <c r="G3" s="171"/>
      <c r="H3" s="77"/>
      <c r="I3" s="77"/>
      <c r="J3" s="77"/>
      <c r="K3" s="170"/>
    </row>
    <row r="4" spans="1:11" ht="26.25" x14ac:dyDescent="0.25">
      <c r="A4" s="170"/>
      <c r="B4" s="171"/>
      <c r="C4" s="915" t="s">
        <v>149</v>
      </c>
      <c r="D4" s="915"/>
      <c r="E4" s="915"/>
      <c r="F4" s="915"/>
      <c r="G4" s="915"/>
      <c r="H4" s="915"/>
      <c r="I4" s="915"/>
      <c r="J4" s="77"/>
      <c r="K4" s="201"/>
    </row>
    <row r="5" spans="1:11" ht="15.75" x14ac:dyDescent="0.25">
      <c r="A5" s="170"/>
      <c r="B5" s="77"/>
      <c r="C5" s="79"/>
      <c r="D5" s="79"/>
      <c r="E5" s="77"/>
      <c r="F5" s="77"/>
      <c r="G5" s="77"/>
      <c r="H5" s="119"/>
      <c r="I5" s="119"/>
      <c r="J5" s="77"/>
      <c r="K5" s="189"/>
    </row>
    <row r="6" spans="1:11" s="426" customFormat="1" ht="15.75" x14ac:dyDescent="0.25">
      <c r="A6" s="170"/>
      <c r="B6" s="82"/>
      <c r="C6" s="914" t="s">
        <v>321</v>
      </c>
      <c r="D6" s="914"/>
      <c r="E6" s="914"/>
      <c r="F6" s="914"/>
      <c r="G6" s="189"/>
      <c r="H6" s="189"/>
      <c r="I6" s="189"/>
      <c r="J6" s="82"/>
      <c r="K6" s="189"/>
    </row>
    <row r="7" spans="1:11" s="426" customFormat="1" ht="15.75" x14ac:dyDescent="0.25">
      <c r="A7" s="170"/>
      <c r="B7" s="82"/>
      <c r="C7" s="972" t="s">
        <v>324</v>
      </c>
      <c r="D7" s="972"/>
      <c r="E7" s="186"/>
      <c r="F7" s="186"/>
      <c r="G7" s="972" t="s">
        <v>326</v>
      </c>
      <c r="H7" s="972"/>
      <c r="I7" s="190"/>
      <c r="J7" s="82"/>
      <c r="K7" s="189"/>
    </row>
    <row r="8" spans="1:11" s="426" customFormat="1" ht="15.75" x14ac:dyDescent="0.25">
      <c r="A8" s="170"/>
      <c r="B8" s="82"/>
      <c r="C8" s="182" t="s">
        <v>120</v>
      </c>
      <c r="D8" s="185"/>
      <c r="E8" s="670"/>
      <c r="F8" s="670"/>
      <c r="G8" s="976">
        <v>2020</v>
      </c>
      <c r="H8" s="976"/>
      <c r="I8" s="396"/>
      <c r="J8" s="82"/>
      <c r="K8" s="189"/>
    </row>
    <row r="9" spans="1:11" s="426" customFormat="1" ht="15.75" x14ac:dyDescent="0.25">
      <c r="A9" s="170"/>
      <c r="B9" s="82"/>
      <c r="C9" s="182" t="s">
        <v>671</v>
      </c>
      <c r="D9" s="185"/>
      <c r="E9" s="761"/>
      <c r="F9" s="761"/>
      <c r="G9" s="957" t="s">
        <v>668</v>
      </c>
      <c r="H9" s="958"/>
      <c r="I9" s="396"/>
      <c r="J9" s="82"/>
      <c r="K9" s="189"/>
    </row>
    <row r="10" spans="1:11" s="426" customFormat="1" ht="15.75" x14ac:dyDescent="0.25">
      <c r="A10" s="170"/>
      <c r="B10" s="82"/>
      <c r="C10" s="329" t="s">
        <v>306</v>
      </c>
      <c r="D10" s="83"/>
      <c r="E10" s="386"/>
      <c r="F10" s="386"/>
      <c r="G10" s="701"/>
      <c r="H10" s="701"/>
      <c r="I10" s="40"/>
      <c r="J10" s="82"/>
      <c r="K10" s="189"/>
    </row>
    <row r="11" spans="1:11" s="426" customFormat="1" ht="15.75" x14ac:dyDescent="0.25">
      <c r="A11" s="170"/>
      <c r="B11" s="82"/>
      <c r="C11" s="183" t="s">
        <v>697</v>
      </c>
      <c r="D11" s="184"/>
      <c r="E11" s="633"/>
      <c r="F11" s="633"/>
      <c r="G11" s="959">
        <v>2</v>
      </c>
      <c r="H11" s="960"/>
      <c r="I11" s="397"/>
      <c r="J11" s="82"/>
      <c r="K11" s="189"/>
    </row>
    <row r="12" spans="1:11" s="426" customFormat="1" ht="15.75" x14ac:dyDescent="0.25">
      <c r="A12" s="170"/>
      <c r="B12" s="82"/>
      <c r="C12" s="183" t="s">
        <v>288</v>
      </c>
      <c r="D12" s="184"/>
      <c r="E12" s="642"/>
      <c r="F12" s="642"/>
      <c r="G12" s="964">
        <v>536</v>
      </c>
      <c r="H12" s="964"/>
      <c r="I12" s="397"/>
      <c r="J12" s="82"/>
      <c r="K12" s="189"/>
    </row>
    <row r="13" spans="1:11" s="426" customFormat="1" ht="15.75" x14ac:dyDescent="0.25">
      <c r="A13" s="170"/>
      <c r="B13" s="82"/>
      <c r="C13" s="183" t="s">
        <v>289</v>
      </c>
      <c r="D13" s="184"/>
      <c r="E13" s="643"/>
      <c r="F13" s="643"/>
      <c r="G13" s="961">
        <f>400/700</f>
        <v>0.5714285714285714</v>
      </c>
      <c r="H13" s="961"/>
      <c r="I13" s="398"/>
      <c r="J13" s="82"/>
      <c r="K13" s="189"/>
    </row>
    <row r="14" spans="1:11" s="426" customFormat="1" ht="15.75" x14ac:dyDescent="0.25">
      <c r="A14" s="170"/>
      <c r="B14" s="82"/>
      <c r="C14" s="183" t="s">
        <v>290</v>
      </c>
      <c r="D14" s="184"/>
      <c r="E14" s="633"/>
      <c r="F14" s="633"/>
      <c r="G14" s="961">
        <v>0.34</v>
      </c>
      <c r="H14" s="961"/>
      <c r="I14" s="399"/>
      <c r="J14" s="82"/>
      <c r="K14" s="189"/>
    </row>
    <row r="15" spans="1:11" s="426" customFormat="1" ht="15.75" x14ac:dyDescent="0.25">
      <c r="A15" s="170"/>
      <c r="B15" s="82"/>
      <c r="C15" s="766"/>
      <c r="D15" s="387"/>
      <c r="E15" s="762"/>
      <c r="F15" s="764"/>
      <c r="G15" s="765"/>
      <c r="H15" s="765"/>
      <c r="I15" s="763"/>
      <c r="J15" s="82"/>
      <c r="K15" s="189"/>
    </row>
    <row r="16" spans="1:11" s="426" customFormat="1" ht="15.75" x14ac:dyDescent="0.25">
      <c r="A16" s="170"/>
      <c r="B16" s="82"/>
      <c r="C16" s="183" t="s">
        <v>698</v>
      </c>
      <c r="D16" s="184"/>
      <c r="E16" s="633"/>
      <c r="F16" s="633"/>
      <c r="G16" s="959">
        <v>1</v>
      </c>
      <c r="H16" s="960"/>
      <c r="I16" s="399"/>
      <c r="J16" s="82"/>
      <c r="K16" s="189"/>
    </row>
    <row r="17" spans="1:16" s="426" customFormat="1" ht="15.75" x14ac:dyDescent="0.25">
      <c r="A17" s="170"/>
      <c r="B17" s="82"/>
      <c r="C17" s="183" t="s">
        <v>274</v>
      </c>
      <c r="D17" s="184"/>
      <c r="E17" s="632"/>
      <c r="F17" s="632"/>
      <c r="G17" s="964">
        <v>352</v>
      </c>
      <c r="H17" s="964"/>
      <c r="I17" s="400"/>
      <c r="J17" s="82"/>
      <c r="K17" s="189"/>
    </row>
    <row r="18" spans="1:16" s="426" customFormat="1" ht="15.75" x14ac:dyDescent="0.25">
      <c r="A18" s="170"/>
      <c r="B18" s="82"/>
      <c r="C18" s="183" t="s">
        <v>291</v>
      </c>
      <c r="D18" s="184"/>
      <c r="E18" s="633"/>
      <c r="F18" s="633"/>
      <c r="G18" s="961">
        <v>0.22</v>
      </c>
      <c r="H18" s="961"/>
      <c r="I18" s="399"/>
      <c r="J18" s="82"/>
      <c r="K18" s="189"/>
    </row>
    <row r="19" spans="1:16" s="426" customFormat="1" ht="15.75" x14ac:dyDescent="0.25">
      <c r="A19" s="170"/>
      <c r="B19" s="82"/>
      <c r="C19" s="183" t="s">
        <v>292</v>
      </c>
      <c r="D19" s="184"/>
      <c r="E19" s="633"/>
      <c r="F19" s="633"/>
      <c r="G19" s="961">
        <v>0.52</v>
      </c>
      <c r="H19" s="961"/>
      <c r="I19" s="399"/>
      <c r="J19" s="82"/>
      <c r="K19" s="189"/>
    </row>
    <row r="20" spans="1:16" s="426" customFormat="1" ht="15.75" x14ac:dyDescent="0.25">
      <c r="A20" s="170"/>
      <c r="B20" s="82"/>
      <c r="C20" s="329" t="s">
        <v>307</v>
      </c>
      <c r="D20" s="83"/>
      <c r="E20" s="85"/>
      <c r="F20" s="85"/>
      <c r="G20" s="700"/>
      <c r="H20" s="701"/>
      <c r="I20" s="35"/>
      <c r="J20" s="82"/>
      <c r="K20" s="189"/>
    </row>
    <row r="21" spans="1:16" s="426" customFormat="1" ht="15.75" x14ac:dyDescent="0.25">
      <c r="A21" s="170"/>
      <c r="B21" s="82"/>
      <c r="C21" s="183" t="s">
        <v>699</v>
      </c>
      <c r="D21" s="184"/>
      <c r="E21" s="633"/>
      <c r="F21" s="633"/>
      <c r="G21" s="959">
        <v>1</v>
      </c>
      <c r="H21" s="960"/>
      <c r="I21" s="35"/>
      <c r="J21" s="82"/>
      <c r="K21" s="189"/>
    </row>
    <row r="22" spans="1:16" s="426" customFormat="1" ht="15.75" x14ac:dyDescent="0.25">
      <c r="A22" s="170"/>
      <c r="B22" s="82"/>
      <c r="C22" s="183" t="s">
        <v>271</v>
      </c>
      <c r="D22" s="184"/>
      <c r="E22" s="632"/>
      <c r="F22" s="632"/>
      <c r="G22" s="964">
        <v>500</v>
      </c>
      <c r="H22" s="964"/>
      <c r="I22" s="401"/>
      <c r="J22" s="82"/>
      <c r="K22" s="189"/>
    </row>
    <row r="23" spans="1:16" s="426" customFormat="1" ht="15.75" x14ac:dyDescent="0.25">
      <c r="A23" s="170"/>
      <c r="B23" s="82"/>
      <c r="C23" s="183" t="s">
        <v>293</v>
      </c>
      <c r="D23" s="184"/>
      <c r="E23" s="633"/>
      <c r="F23" s="633"/>
      <c r="G23" s="961">
        <v>0.4</v>
      </c>
      <c r="H23" s="961"/>
      <c r="I23" s="402"/>
      <c r="J23" s="82"/>
      <c r="K23" s="189"/>
    </row>
    <row r="24" spans="1:16" s="426" customFormat="1" ht="15.75" x14ac:dyDescent="0.25">
      <c r="A24" s="170"/>
      <c r="B24" s="82"/>
      <c r="C24" s="183" t="s">
        <v>294</v>
      </c>
      <c r="D24" s="184"/>
      <c r="E24" s="633"/>
      <c r="F24" s="633"/>
      <c r="G24" s="961">
        <v>0.12</v>
      </c>
      <c r="H24" s="961"/>
      <c r="I24" s="402"/>
      <c r="J24" s="82"/>
      <c r="K24" s="189"/>
      <c r="L24" s="427"/>
    </row>
    <row r="25" spans="1:16" s="426" customFormat="1" ht="15.75" x14ac:dyDescent="0.25">
      <c r="A25" s="170"/>
      <c r="B25" s="82"/>
      <c r="C25" s="173"/>
      <c r="D25" s="387"/>
      <c r="E25" s="762"/>
      <c r="F25" s="764"/>
      <c r="G25" s="765"/>
      <c r="H25" s="765"/>
      <c r="I25" s="763"/>
      <c r="J25" s="82"/>
      <c r="K25" s="189"/>
      <c r="L25" s="428"/>
      <c r="M25" s="429"/>
      <c r="N25" s="429"/>
      <c r="O25" s="429"/>
      <c r="P25" s="429"/>
    </row>
    <row r="26" spans="1:16" s="426" customFormat="1" ht="15.75" x14ac:dyDescent="0.25">
      <c r="A26" s="170"/>
      <c r="B26" s="82"/>
      <c r="C26" s="183" t="s">
        <v>700</v>
      </c>
      <c r="D26" s="184"/>
      <c r="E26" s="633"/>
      <c r="F26" s="633"/>
      <c r="G26" s="959">
        <v>1</v>
      </c>
      <c r="H26" s="960"/>
      <c r="I26" s="402"/>
      <c r="J26" s="82"/>
      <c r="K26" s="189"/>
      <c r="L26" s="431"/>
      <c r="M26" s="430"/>
      <c r="N26" s="430"/>
      <c r="O26" s="430"/>
      <c r="P26" s="430"/>
    </row>
    <row r="27" spans="1:16" s="426" customFormat="1" ht="15.75" x14ac:dyDescent="0.25">
      <c r="A27" s="170"/>
      <c r="B27" s="82"/>
      <c r="C27" s="183" t="s">
        <v>272</v>
      </c>
      <c r="D27" s="184"/>
      <c r="E27" s="632"/>
      <c r="F27" s="632"/>
      <c r="G27" s="964">
        <v>365</v>
      </c>
      <c r="H27" s="964"/>
      <c r="I27" s="402"/>
      <c r="J27" s="82"/>
      <c r="K27" s="189"/>
      <c r="L27" s="431"/>
      <c r="M27" s="430"/>
      <c r="N27" s="430"/>
      <c r="O27" s="430"/>
      <c r="P27" s="430"/>
    </row>
    <row r="28" spans="1:16" s="426" customFormat="1" ht="15.75" x14ac:dyDescent="0.25">
      <c r="A28" s="170"/>
      <c r="B28" s="82"/>
      <c r="C28" s="183" t="s">
        <v>309</v>
      </c>
      <c r="D28" s="184"/>
      <c r="E28" s="633"/>
      <c r="F28" s="633"/>
      <c r="G28" s="961">
        <v>0.32</v>
      </c>
      <c r="H28" s="961"/>
      <c r="I28" s="402"/>
      <c r="J28" s="82"/>
      <c r="K28" s="189"/>
      <c r="L28" s="431"/>
      <c r="M28" s="430"/>
      <c r="N28" s="430"/>
      <c r="O28" s="430"/>
      <c r="P28" s="430"/>
    </row>
    <row r="29" spans="1:16" s="426" customFormat="1" ht="15.75" x14ac:dyDescent="0.25">
      <c r="A29" s="170"/>
      <c r="B29" s="82"/>
      <c r="C29" s="183" t="s">
        <v>310</v>
      </c>
      <c r="D29" s="184"/>
      <c r="E29" s="633"/>
      <c r="F29" s="633"/>
      <c r="G29" s="961">
        <v>0.11</v>
      </c>
      <c r="H29" s="961"/>
      <c r="I29" s="401"/>
      <c r="J29" s="82"/>
      <c r="K29" s="189"/>
      <c r="L29" s="431"/>
      <c r="M29" s="430"/>
      <c r="N29" s="430"/>
      <c r="O29" s="430"/>
      <c r="P29" s="430"/>
    </row>
    <row r="30" spans="1:16" s="426" customFormat="1" ht="15.75" x14ac:dyDescent="0.25">
      <c r="A30" s="170"/>
      <c r="B30" s="82"/>
      <c r="C30" s="329" t="s">
        <v>308</v>
      </c>
      <c r="D30" s="387"/>
      <c r="E30" s="641"/>
      <c r="F30" s="641"/>
      <c r="G30" s="700"/>
      <c r="H30" s="702"/>
      <c r="I30" s="82"/>
      <c r="J30" s="82"/>
      <c r="K30" s="189"/>
      <c r="L30" s="433"/>
      <c r="M30" s="432"/>
      <c r="N30" s="432"/>
      <c r="O30" s="432"/>
      <c r="P30" s="432"/>
    </row>
    <row r="31" spans="1:16" s="426" customFormat="1" ht="15.75" x14ac:dyDescent="0.25">
      <c r="A31" s="170"/>
      <c r="B31" s="82"/>
      <c r="C31" s="183" t="s">
        <v>182</v>
      </c>
      <c r="D31" s="187"/>
      <c r="E31" s="634"/>
      <c r="F31" s="634"/>
      <c r="G31" s="962">
        <v>0.02</v>
      </c>
      <c r="H31" s="962"/>
      <c r="I31" s="402"/>
      <c r="J31" s="82"/>
      <c r="K31" s="189"/>
    </row>
    <row r="32" spans="1:16" s="426" customFormat="1" ht="15.75" x14ac:dyDescent="0.25">
      <c r="A32" s="170"/>
      <c r="B32" s="82"/>
      <c r="C32" s="973" t="s">
        <v>269</v>
      </c>
      <c r="D32" s="974"/>
      <c r="E32" s="635"/>
      <c r="F32" s="635"/>
      <c r="G32" s="963">
        <v>0.95</v>
      </c>
      <c r="H32" s="963"/>
      <c r="I32" s="402"/>
      <c r="J32" s="82"/>
      <c r="K32" s="189"/>
    </row>
    <row r="33" spans="1:13" x14ac:dyDescent="0.25">
      <c r="A33" s="170"/>
      <c r="B33" s="82"/>
      <c r="C33" s="973" t="s">
        <v>47</v>
      </c>
      <c r="D33" s="974"/>
      <c r="E33" s="632"/>
      <c r="F33" s="632"/>
      <c r="G33" s="964">
        <v>40</v>
      </c>
      <c r="H33" s="964"/>
      <c r="I33" s="403"/>
      <c r="J33" s="82"/>
      <c r="K33" s="170"/>
    </row>
    <row r="34" spans="1:13" x14ac:dyDescent="0.25">
      <c r="A34" s="170"/>
      <c r="B34" s="82"/>
      <c r="C34" s="769" t="s">
        <v>672</v>
      </c>
      <c r="D34" s="387"/>
      <c r="E34" s="641"/>
      <c r="F34" s="641"/>
      <c r="G34" s="700"/>
      <c r="H34" s="702"/>
      <c r="I34" s="82"/>
      <c r="J34" s="82"/>
      <c r="K34" s="170"/>
    </row>
    <row r="35" spans="1:13" x14ac:dyDescent="0.25">
      <c r="A35" s="170"/>
      <c r="B35" s="82"/>
      <c r="C35" s="770" t="s">
        <v>679</v>
      </c>
      <c r="D35" s="757"/>
      <c r="E35" s="768"/>
      <c r="F35" s="768"/>
      <c r="G35" s="964">
        <v>2</v>
      </c>
      <c r="H35" s="964"/>
      <c r="I35" s="403"/>
      <c r="J35" s="82"/>
      <c r="K35" s="170"/>
    </row>
    <row r="36" spans="1:13" x14ac:dyDescent="0.25">
      <c r="A36" s="170"/>
      <c r="B36" s="82"/>
      <c r="C36" s="770" t="s">
        <v>680</v>
      </c>
      <c r="D36" s="757"/>
      <c r="E36" s="768"/>
      <c r="F36" s="768"/>
      <c r="G36" s="964">
        <v>2</v>
      </c>
      <c r="H36" s="964"/>
      <c r="I36" s="403"/>
      <c r="J36" s="82"/>
      <c r="K36" s="170"/>
    </row>
    <row r="37" spans="1:13" x14ac:dyDescent="0.25">
      <c r="A37" s="170"/>
      <c r="B37" s="82"/>
      <c r="C37" s="770" t="s">
        <v>681</v>
      </c>
      <c r="D37" s="757"/>
      <c r="E37" s="768"/>
      <c r="F37" s="768"/>
      <c r="G37" s="964">
        <v>2</v>
      </c>
      <c r="H37" s="964"/>
      <c r="I37" s="403"/>
      <c r="J37" s="82"/>
      <c r="K37" s="170"/>
    </row>
    <row r="38" spans="1:13" x14ac:dyDescent="0.25">
      <c r="A38" s="170"/>
      <c r="B38" s="82"/>
      <c r="C38" s="770" t="s">
        <v>682</v>
      </c>
      <c r="D38" s="757"/>
      <c r="E38" s="768"/>
      <c r="F38" s="768"/>
      <c r="G38" s="964">
        <v>1</v>
      </c>
      <c r="H38" s="964"/>
      <c r="I38" s="403"/>
      <c r="J38" s="82"/>
      <c r="K38" s="170"/>
    </row>
    <row r="39" spans="1:13" x14ac:dyDescent="0.25">
      <c r="A39" s="170"/>
      <c r="B39" s="82"/>
      <c r="C39" s="43"/>
      <c r="D39" s="43"/>
      <c r="E39" s="43"/>
      <c r="F39" s="43"/>
      <c r="G39" s="43"/>
      <c r="H39" s="43"/>
      <c r="I39" s="43"/>
      <c r="J39" s="82"/>
      <c r="K39" s="170"/>
    </row>
    <row r="40" spans="1:13" ht="15.75" x14ac:dyDescent="0.25">
      <c r="A40" s="170"/>
      <c r="B40" s="82"/>
      <c r="C40" s="914" t="s">
        <v>320</v>
      </c>
      <c r="D40" s="914"/>
      <c r="E40" s="914"/>
      <c r="F40" s="914"/>
      <c r="G40" s="979"/>
      <c r="H40" s="979"/>
      <c r="I40" s="394"/>
      <c r="J40" s="395"/>
      <c r="K40" s="170"/>
    </row>
    <row r="41" spans="1:13" x14ac:dyDescent="0.25">
      <c r="A41" s="170"/>
      <c r="B41" s="82"/>
      <c r="C41" s="972" t="s">
        <v>1</v>
      </c>
      <c r="D41" s="972"/>
      <c r="E41" s="86"/>
      <c r="F41" s="86"/>
      <c r="G41" s="86"/>
      <c r="H41" s="82"/>
      <c r="I41" s="82"/>
      <c r="J41" s="82"/>
      <c r="K41" s="170"/>
    </row>
    <row r="42" spans="1:13" x14ac:dyDescent="0.25">
      <c r="A42" s="170"/>
      <c r="B42" s="82"/>
      <c r="C42" s="192" t="s">
        <v>65</v>
      </c>
      <c r="D42" s="192"/>
      <c r="E42" s="84"/>
      <c r="F42" s="84"/>
      <c r="G42" s="966">
        <v>10</v>
      </c>
      <c r="H42" s="966"/>
      <c r="I42" s="401"/>
      <c r="J42" s="82"/>
      <c r="K42" s="170"/>
    </row>
    <row r="43" spans="1:13" x14ac:dyDescent="0.25">
      <c r="A43" s="170"/>
      <c r="B43" s="77"/>
      <c r="C43" s="192" t="s">
        <v>66</v>
      </c>
      <c r="D43" s="192"/>
      <c r="E43" s="84"/>
      <c r="F43" s="84"/>
      <c r="G43" s="966">
        <v>250</v>
      </c>
      <c r="H43" s="966"/>
      <c r="I43" s="401"/>
      <c r="J43" s="82"/>
      <c r="K43" s="170"/>
      <c r="L43" s="434"/>
      <c r="M43" s="434"/>
    </row>
    <row r="44" spans="1:13" s="434" customFormat="1" x14ac:dyDescent="0.25">
      <c r="A44" s="170"/>
      <c r="B44" s="77"/>
      <c r="C44" s="192" t="s">
        <v>300</v>
      </c>
      <c r="D44" s="192"/>
      <c r="E44" s="84"/>
      <c r="F44" s="84"/>
      <c r="G44" s="967">
        <f>1/(1+$G$31*(2-1))</f>
        <v>0.98039215686274506</v>
      </c>
      <c r="H44" s="967"/>
      <c r="I44" s="401"/>
      <c r="J44" s="83"/>
      <c r="K44" s="170"/>
    </row>
    <row r="45" spans="1:13" s="434" customFormat="1" x14ac:dyDescent="0.25">
      <c r="A45" s="170"/>
      <c r="B45" s="77"/>
      <c r="C45" s="192" t="s">
        <v>688</v>
      </c>
      <c r="D45" s="192"/>
      <c r="E45" s="84"/>
      <c r="F45" s="84"/>
      <c r="G45" s="965">
        <v>-1E-3</v>
      </c>
      <c r="H45" s="965"/>
      <c r="I45" s="401"/>
      <c r="J45" s="83"/>
      <c r="K45" s="170"/>
      <c r="L45" s="423"/>
      <c r="M45" s="423"/>
    </row>
    <row r="46" spans="1:13" x14ac:dyDescent="0.25">
      <c r="A46" s="170"/>
      <c r="B46" s="77"/>
      <c r="C46" s="192" t="s">
        <v>689</v>
      </c>
      <c r="D46" s="192"/>
      <c r="E46" s="767"/>
      <c r="F46" s="767"/>
      <c r="G46" s="965">
        <v>-6.9999999999999999E-4</v>
      </c>
      <c r="H46" s="965"/>
      <c r="I46" s="401"/>
      <c r="J46" s="83"/>
      <c r="K46" s="170"/>
      <c r="L46" s="434"/>
      <c r="M46" s="434"/>
    </row>
    <row r="47" spans="1:13" s="434" customFormat="1" x14ac:dyDescent="0.25">
      <c r="A47" s="170"/>
      <c r="B47" s="77"/>
      <c r="C47" s="192" t="s">
        <v>690</v>
      </c>
      <c r="D47" s="192"/>
      <c r="E47" s="767"/>
      <c r="F47" s="767"/>
      <c r="G47" s="965">
        <v>-6.9999999999999999E-4</v>
      </c>
      <c r="H47" s="965"/>
      <c r="I47" s="401"/>
      <c r="J47" s="83"/>
      <c r="K47" s="170"/>
    </row>
    <row r="48" spans="1:13" s="434" customFormat="1" x14ac:dyDescent="0.25">
      <c r="A48" s="170"/>
      <c r="B48" s="77"/>
      <c r="C48" s="192" t="s">
        <v>691</v>
      </c>
      <c r="D48" s="192"/>
      <c r="E48" s="767"/>
      <c r="F48" s="767"/>
      <c r="G48" s="970">
        <v>-7.5000000000000002E-4</v>
      </c>
      <c r="H48" s="970"/>
      <c r="I48" s="401"/>
      <c r="J48" s="83"/>
      <c r="K48" s="170"/>
    </row>
    <row r="49" spans="1:13" s="434" customFormat="1" x14ac:dyDescent="0.25">
      <c r="A49" s="170"/>
      <c r="B49" s="77"/>
      <c r="C49" s="972" t="s">
        <v>2</v>
      </c>
      <c r="D49" s="972"/>
      <c r="E49" s="386">
        <v>2015</v>
      </c>
      <c r="F49" s="386">
        <v>2025</v>
      </c>
      <c r="G49" s="242"/>
      <c r="H49" s="82"/>
      <c r="I49" s="82"/>
      <c r="J49" s="77"/>
      <c r="K49" s="170"/>
      <c r="L49" s="423"/>
      <c r="M49" s="423"/>
    </row>
    <row r="50" spans="1:13" x14ac:dyDescent="0.25">
      <c r="A50" s="170"/>
      <c r="B50" s="77"/>
      <c r="C50" s="194" t="s">
        <v>621</v>
      </c>
      <c r="D50" s="193"/>
      <c r="E50" s="10">
        <f>'2015ER'!AG4</f>
        <v>3544.7317355931123</v>
      </c>
      <c r="F50" s="10">
        <f>'2025ER'!AG4</f>
        <v>2753.9732713183676</v>
      </c>
      <c r="G50" s="968">
        <f t="shared" ref="G50:G63" si="0">TREND(E50:F50,$E$49:$F$49,$G$8)</f>
        <v>3149.3525034557388</v>
      </c>
      <c r="H50" s="968"/>
      <c r="I50" s="401"/>
      <c r="J50" s="77"/>
      <c r="K50" s="170"/>
      <c r="L50" s="425"/>
      <c r="M50" s="425"/>
    </row>
    <row r="51" spans="1:13" s="425" customFormat="1" x14ac:dyDescent="0.25">
      <c r="A51" s="170"/>
      <c r="B51" s="77"/>
      <c r="C51" s="194" t="s">
        <v>221</v>
      </c>
      <c r="D51" s="193"/>
      <c r="E51" s="10">
        <f>'2015ER'!AG5</f>
        <v>1.5994820236445826</v>
      </c>
      <c r="F51" s="10">
        <f>'2025ER'!AG5</f>
        <v>0.35030066832913132</v>
      </c>
      <c r="G51" s="968">
        <f t="shared" si="0"/>
        <v>0.97489134598686178</v>
      </c>
      <c r="H51" s="968"/>
      <c r="I51" s="404"/>
      <c r="J51" s="77"/>
      <c r="K51" s="170"/>
    </row>
    <row r="52" spans="1:13" s="425" customFormat="1" x14ac:dyDescent="0.25">
      <c r="A52" s="170"/>
      <c r="B52" s="89"/>
      <c r="C52" s="194" t="s">
        <v>220</v>
      </c>
      <c r="D52" s="193"/>
      <c r="E52" s="776">
        <f>'2015ER'!AG6</f>
        <v>6.7381205742655201E-2</v>
      </c>
      <c r="F52" s="776">
        <f>'2025ER'!AG6</f>
        <v>4.4825042632683533E-2</v>
      </c>
      <c r="G52" s="969">
        <f t="shared" si="0"/>
        <v>5.6103124187669273E-2</v>
      </c>
      <c r="H52" s="969"/>
      <c r="I52" s="405"/>
      <c r="J52" s="152"/>
      <c r="K52" s="170"/>
    </row>
    <row r="53" spans="1:13" s="425" customFormat="1" x14ac:dyDescent="0.25">
      <c r="A53" s="170"/>
      <c r="B53" s="89"/>
      <c r="C53" s="194" t="s">
        <v>219</v>
      </c>
      <c r="D53" s="193"/>
      <c r="E53" s="10">
        <f>'2015ER'!AG7</f>
        <v>3.0974722428626738</v>
      </c>
      <c r="F53" s="10">
        <f>'2025ER'!AG7</f>
        <v>0.6442430103564446</v>
      </c>
      <c r="G53" s="968">
        <f t="shared" si="0"/>
        <v>1.8708576266095633</v>
      </c>
      <c r="H53" s="968"/>
      <c r="I53" s="402"/>
      <c r="J53" s="77"/>
      <c r="K53" s="170"/>
      <c r="L53" s="423"/>
      <c r="M53" s="423"/>
    </row>
    <row r="54" spans="1:13" x14ac:dyDescent="0.25">
      <c r="A54" s="170"/>
      <c r="B54" s="77"/>
      <c r="C54" s="194" t="s">
        <v>218</v>
      </c>
      <c r="D54" s="193"/>
      <c r="E54" s="10">
        <f>'2015ER'!AG8</f>
        <v>3.4133004650001109</v>
      </c>
      <c r="F54" s="10">
        <f>'2025ER'!AG8</f>
        <v>1.3347788591030429</v>
      </c>
      <c r="G54" s="968">
        <f t="shared" si="0"/>
        <v>2.3740396620515867</v>
      </c>
      <c r="H54" s="968"/>
      <c r="I54" s="402"/>
      <c r="J54" s="77"/>
      <c r="K54" s="170"/>
      <c r="L54" s="248"/>
      <c r="M54" s="248"/>
    </row>
    <row r="55" spans="1:13" s="248" customFormat="1" x14ac:dyDescent="0.25">
      <c r="A55" s="170"/>
      <c r="B55" s="77"/>
      <c r="C55" s="193" t="s">
        <v>590</v>
      </c>
      <c r="D55" s="193"/>
      <c r="E55" s="10">
        <f>'2015ER'!AG9</f>
        <v>6.9972905740586164E-2</v>
      </c>
      <c r="F55" s="10">
        <f>'2025ER'!AG9</f>
        <v>1.8676355513173839E-2</v>
      </c>
      <c r="G55" s="968">
        <f t="shared" si="0"/>
        <v>4.4324630626880079E-2</v>
      </c>
      <c r="H55" s="968"/>
      <c r="I55" s="402"/>
      <c r="J55" s="77"/>
      <c r="K55" s="170"/>
    </row>
    <row r="56" spans="1:13" s="248" customFormat="1" x14ac:dyDescent="0.25">
      <c r="A56" s="170"/>
      <c r="B56" s="77"/>
      <c r="C56" s="193" t="s">
        <v>591</v>
      </c>
      <c r="D56" s="193"/>
      <c r="E56" s="10">
        <f>'2015ER'!AG10</f>
        <v>25.39188850897478</v>
      </c>
      <c r="F56" s="10">
        <f>'2025ER'!AG10</f>
        <v>5.9827421021261857</v>
      </c>
      <c r="G56" s="968">
        <f t="shared" si="0"/>
        <v>15.687315305550328</v>
      </c>
      <c r="H56" s="968"/>
      <c r="I56" s="402"/>
      <c r="J56" s="77"/>
      <c r="K56" s="170"/>
    </row>
    <row r="57" spans="1:13" s="248" customFormat="1" x14ac:dyDescent="0.25">
      <c r="A57" s="170"/>
      <c r="B57" s="89"/>
      <c r="C57" s="194" t="s">
        <v>626</v>
      </c>
      <c r="D57" s="191"/>
      <c r="E57" s="126">
        <f>'2015ER'!AV4</f>
        <v>7701.2468158869069</v>
      </c>
      <c r="F57" s="126">
        <f>'2025ER'!AV4</f>
        <v>7457.3753954897356</v>
      </c>
      <c r="G57" s="968">
        <f t="shared" si="0"/>
        <v>7579.3111056883208</v>
      </c>
      <c r="H57" s="968"/>
      <c r="I57" s="402"/>
      <c r="J57" s="77"/>
      <c r="K57" s="170"/>
    </row>
    <row r="58" spans="1:13" s="248" customFormat="1" x14ac:dyDescent="0.25">
      <c r="A58" s="170"/>
      <c r="B58" s="89"/>
      <c r="C58" s="194" t="s">
        <v>622</v>
      </c>
      <c r="D58" s="191"/>
      <c r="E58" s="126">
        <f>'2015ER'!AV5</f>
        <v>63.977940800482273</v>
      </c>
      <c r="F58" s="126">
        <f>'2025ER'!AV5</f>
        <v>25.376077768462455</v>
      </c>
      <c r="G58" s="968">
        <f t="shared" si="0"/>
        <v>44.677009284472661</v>
      </c>
      <c r="H58" s="968"/>
      <c r="I58" s="402"/>
      <c r="J58" s="141"/>
      <c r="K58" s="170"/>
    </row>
    <row r="59" spans="1:13" s="248" customFormat="1" x14ac:dyDescent="0.25">
      <c r="A59" s="170"/>
      <c r="B59" s="89"/>
      <c r="C59" s="194" t="s">
        <v>623</v>
      </c>
      <c r="D59" s="191"/>
      <c r="E59" s="126">
        <f>'2015ER'!AV6</f>
        <v>4.3247781712366908</v>
      </c>
      <c r="F59" s="126">
        <f>'2025ER'!AV6</f>
        <v>1.7042063606007158</v>
      </c>
      <c r="G59" s="968">
        <f t="shared" si="0"/>
        <v>3.0144922659186477</v>
      </c>
      <c r="H59" s="968"/>
      <c r="I59" s="406"/>
      <c r="J59" s="142"/>
      <c r="K59" s="170"/>
      <c r="L59" s="424"/>
      <c r="M59" s="424"/>
    </row>
    <row r="60" spans="1:13" s="424" customFormat="1" x14ac:dyDescent="0.25">
      <c r="A60" s="170"/>
      <c r="B60" s="77"/>
      <c r="C60" s="194" t="s">
        <v>624</v>
      </c>
      <c r="D60" s="191"/>
      <c r="E60" s="126">
        <f>'2015ER'!AV7</f>
        <v>61.690827855331229</v>
      </c>
      <c r="F60" s="126">
        <f>'2025ER'!AV7</f>
        <v>24.28916155157938</v>
      </c>
      <c r="G60" s="968">
        <f t="shared" si="0"/>
        <v>42.989994703455523</v>
      </c>
      <c r="H60" s="968"/>
      <c r="I60" s="406"/>
      <c r="J60" s="89"/>
      <c r="K60" s="170"/>
    </row>
    <row r="61" spans="1:13" s="424" customFormat="1" x14ac:dyDescent="0.25">
      <c r="A61" s="170"/>
      <c r="B61" s="83"/>
      <c r="C61" s="194" t="s">
        <v>625</v>
      </c>
      <c r="D61" s="191"/>
      <c r="E61" s="126">
        <f>'2015ER'!AV8</f>
        <v>10.430373024743488</v>
      </c>
      <c r="F61" s="126">
        <f>'2025ER'!AV8</f>
        <v>4.4697968378830852</v>
      </c>
      <c r="G61" s="968">
        <f t="shared" si="0"/>
        <v>7.4500849313133131</v>
      </c>
      <c r="H61" s="968"/>
      <c r="I61" s="401"/>
      <c r="J61" s="77"/>
      <c r="K61" s="170"/>
    </row>
    <row r="62" spans="1:13" s="424" customFormat="1" x14ac:dyDescent="0.25">
      <c r="A62" s="170"/>
      <c r="B62" s="83"/>
      <c r="C62" s="194" t="s">
        <v>593</v>
      </c>
      <c r="D62" s="191"/>
      <c r="E62" s="126">
        <f>'2015ER'!AV9</f>
        <v>7.6596847381551092E-2</v>
      </c>
      <c r="F62" s="126">
        <f>'2025ER'!AV9</f>
        <v>6.3714295089789541E-2</v>
      </c>
      <c r="G62" s="968">
        <f t="shared" si="0"/>
        <v>7.0155571235670511E-2</v>
      </c>
      <c r="H62" s="968"/>
      <c r="I62" s="401"/>
      <c r="J62" s="77"/>
      <c r="K62" s="170"/>
    </row>
    <row r="63" spans="1:13" s="424" customFormat="1" x14ac:dyDescent="0.25">
      <c r="A63" s="170"/>
      <c r="B63" s="83"/>
      <c r="C63" s="194" t="s">
        <v>592</v>
      </c>
      <c r="D63" s="191"/>
      <c r="E63" s="126">
        <f>'2015ER'!AV10</f>
        <v>22.994698616033428</v>
      </c>
      <c r="F63" s="126">
        <f>'2025ER'!AV10</f>
        <v>9.6956358189953917</v>
      </c>
      <c r="G63" s="968">
        <f t="shared" si="0"/>
        <v>16.345167217514245</v>
      </c>
      <c r="H63" s="968"/>
      <c r="I63" s="401"/>
      <c r="J63" s="77"/>
      <c r="K63" s="170"/>
    </row>
    <row r="64" spans="1:13" s="424" customFormat="1" x14ac:dyDescent="0.25">
      <c r="A64" s="170"/>
      <c r="B64" s="83"/>
      <c r="C64" s="145"/>
      <c r="D64" s="134"/>
      <c r="E64" s="146"/>
      <c r="F64" s="146"/>
      <c r="G64" s="388"/>
      <c r="H64" s="388"/>
      <c r="I64" s="82"/>
      <c r="J64" s="77"/>
      <c r="K64" s="170"/>
    </row>
    <row r="65" spans="1:13" s="424" customFormat="1" ht="15.75" x14ac:dyDescent="0.25">
      <c r="A65" s="170"/>
      <c r="B65" s="81"/>
      <c r="C65" s="977" t="s">
        <v>317</v>
      </c>
      <c r="D65" s="977"/>
      <c r="E65" s="977"/>
      <c r="F65" s="977"/>
      <c r="G65" s="977"/>
      <c r="H65" s="977"/>
      <c r="I65" s="977"/>
      <c r="J65" s="81"/>
      <c r="K65" s="170"/>
    </row>
    <row r="66" spans="1:13" s="424" customFormat="1" x14ac:dyDescent="0.25">
      <c r="A66" s="170"/>
      <c r="B66" s="83"/>
      <c r="C66" s="169" t="s">
        <v>330</v>
      </c>
      <c r="D66" s="49"/>
      <c r="E66" s="49"/>
      <c r="F66" s="49"/>
      <c r="G66" s="978" t="s">
        <v>323</v>
      </c>
      <c r="H66" s="978"/>
      <c r="I66" s="416"/>
      <c r="J66" s="83"/>
      <c r="K66" s="170"/>
      <c r="L66" s="423"/>
      <c r="M66" s="423"/>
    </row>
    <row r="67" spans="1:13" ht="33" customHeight="1" x14ac:dyDescent="0.25">
      <c r="A67" s="170"/>
      <c r="B67" s="77"/>
      <c r="C67" s="417" t="s">
        <v>279</v>
      </c>
      <c r="D67" s="418" t="s">
        <v>673</v>
      </c>
      <c r="E67" s="419"/>
      <c r="F67" s="420"/>
      <c r="G67" s="418" t="s">
        <v>268</v>
      </c>
      <c r="H67" s="418" t="s">
        <v>675</v>
      </c>
      <c r="I67" s="421" t="s">
        <v>674</v>
      </c>
      <c r="J67" s="77"/>
      <c r="K67" s="170"/>
    </row>
    <row r="68" spans="1:13" x14ac:dyDescent="0.25">
      <c r="A68" s="170"/>
      <c r="B68" s="65"/>
      <c r="C68" s="187" t="s">
        <v>280</v>
      </c>
      <c r="D68" s="422"/>
      <c r="E68" s="83"/>
      <c r="F68" s="83"/>
      <c r="G68" s="88">
        <f>(G22*G24/$G$32)/G$44</f>
        <v>64.421052631578959</v>
      </c>
      <c r="H68" s="88">
        <f>(IF(G12=0,0,G17-(G17*G18)-(G17*G19))/$G$32)/G$44</f>
        <v>98.263578947368416</v>
      </c>
      <c r="I68" s="88">
        <f>(G27*G28/$G$32)/G$44</f>
        <v>125.40631578947369</v>
      </c>
      <c r="J68" s="65"/>
      <c r="K68" s="170"/>
    </row>
    <row r="69" spans="1:13" x14ac:dyDescent="0.25">
      <c r="A69" s="170"/>
      <c r="B69" s="65"/>
      <c r="C69" s="187" t="s">
        <v>281</v>
      </c>
      <c r="D69" s="88">
        <f>(G12*G13/$G$32)/G$44</f>
        <v>328.85413533834588</v>
      </c>
      <c r="E69" s="81"/>
      <c r="F69" s="81"/>
      <c r="G69" s="422"/>
      <c r="H69" s="88">
        <f>(G17*G19/$G$32)/G$44</f>
        <v>196.52715789473689</v>
      </c>
      <c r="I69" s="88">
        <f>(IF(G22=0,0,G27-(G27*G28)-(G27*G29))/$G$32)/G$44</f>
        <v>223.38</v>
      </c>
      <c r="J69" s="65"/>
      <c r="K69" s="170"/>
    </row>
    <row r="70" spans="1:13" x14ac:dyDescent="0.25">
      <c r="A70" s="170"/>
      <c r="B70" s="65"/>
      <c r="C70" s="187" t="s">
        <v>282</v>
      </c>
      <c r="D70" s="88">
        <f>(IF(G17=0,0,G12-(G13*G12)-(G14*G12))/$G$32)/G$44</f>
        <v>50.972390977443617</v>
      </c>
      <c r="E70" s="83"/>
      <c r="F70" s="83"/>
      <c r="G70" s="88">
        <f>(G22*G23/$G$32)/G$44</f>
        <v>214.73684210526318</v>
      </c>
      <c r="H70" s="422"/>
      <c r="I70" s="88">
        <f>(G27*G29/$G$32)/G$44</f>
        <v>43.108421052631584</v>
      </c>
      <c r="J70" s="65"/>
      <c r="K70" s="170"/>
    </row>
    <row r="71" spans="1:13" x14ac:dyDescent="0.25">
      <c r="A71" s="170"/>
      <c r="B71" s="65"/>
      <c r="C71" s="187" t="s">
        <v>283</v>
      </c>
      <c r="D71" s="88">
        <f>(G12*G14/$G$32)/G$44</f>
        <v>195.66821052631582</v>
      </c>
      <c r="E71" s="77"/>
      <c r="F71" s="80"/>
      <c r="G71" s="88">
        <f>(IF(G27=0,0,G22-(G22*E23)-(G22*G24))/$G$32)/G$44</f>
        <v>472.42105263157902</v>
      </c>
      <c r="H71" s="88">
        <f>(G17*G18/$G$32)/G$44</f>
        <v>83.146105263157892</v>
      </c>
      <c r="I71" s="422"/>
      <c r="J71" s="65"/>
      <c r="K71" s="170"/>
    </row>
    <row r="72" spans="1:13" x14ac:dyDescent="0.25">
      <c r="A72" s="170"/>
      <c r="B72" s="65"/>
      <c r="C72" s="120"/>
      <c r="D72" s="120"/>
      <c r="E72" s="66"/>
      <c r="F72" s="66"/>
      <c r="G72" s="120"/>
      <c r="H72" s="120"/>
      <c r="I72" s="120"/>
      <c r="J72" s="65"/>
      <c r="K72" s="170"/>
    </row>
    <row r="73" spans="1:13" x14ac:dyDescent="0.25">
      <c r="A73" s="170"/>
      <c r="B73" s="80"/>
      <c r="C73" s="187" t="s">
        <v>692</v>
      </c>
      <c r="D73" s="88">
        <f>IF(G11=1,SUM(D$68:D$71),SUM(D71+D70/2))</f>
        <v>221.15440601503764</v>
      </c>
      <c r="E73" s="65"/>
      <c r="F73" s="65"/>
      <c r="G73" s="88">
        <f>IF(G21=1,SUM(G$68:G$71),SUM(G68+G71/2))</f>
        <v>751.57894736842115</v>
      </c>
      <c r="H73" s="88">
        <f>IF(G16=1,SUM(H$68:H$71),SUM(H69+H68/2))</f>
        <v>377.93684210526317</v>
      </c>
      <c r="I73" s="88">
        <f>IF(G16=1,SUM(I$68:I$71),SUM(I70+I69/2))</f>
        <v>391.89473684210526</v>
      </c>
      <c r="J73" s="80"/>
      <c r="K73" s="170"/>
    </row>
    <row r="74" spans="1:13" x14ac:dyDescent="0.25">
      <c r="A74" s="170"/>
      <c r="B74" s="80"/>
      <c r="C74" s="187" t="s">
        <v>693</v>
      </c>
      <c r="D74" s="88">
        <f>IF(G11=2,SUM(D69:D71)-D73,0)</f>
        <v>354.3403308270677</v>
      </c>
      <c r="E74" s="65"/>
      <c r="F74" s="65"/>
      <c r="G74" s="88">
        <f>IF(G21=2,SUM(G68:G71)-G73,0)</f>
        <v>0</v>
      </c>
      <c r="H74" s="88">
        <f>IF(G16=2,SUM(H68:H71)-H73,0)</f>
        <v>0</v>
      </c>
      <c r="I74" s="88">
        <f>IF(G26=2,SUM(I68:I71)-I73,0)</f>
        <v>0</v>
      </c>
      <c r="J74" s="80"/>
      <c r="K74" s="170"/>
    </row>
    <row r="75" spans="1:13" x14ac:dyDescent="0.25">
      <c r="A75" s="170"/>
      <c r="B75" s="80"/>
      <c r="C75" s="187" t="s">
        <v>295</v>
      </c>
      <c r="D75" s="88">
        <f>IF(D73=0,"",SUM(G70:G71,H71))</f>
        <v>770.30400000000009</v>
      </c>
      <c r="E75" s="65"/>
      <c r="F75" s="65"/>
      <c r="G75" s="88">
        <f>IF(G73=0,"",SUM(I68,H68,H71))</f>
        <v>306.81600000000003</v>
      </c>
      <c r="H75" s="88">
        <f>IF(H73=0,"",SUM(D69,I68:I69))</f>
        <v>677.64045112781957</v>
      </c>
      <c r="I75" s="88">
        <f>IF(I73=0,"",SUM(D69:D70,G70))</f>
        <v>594.5633684210527</v>
      </c>
      <c r="J75" s="80"/>
      <c r="K75" s="170"/>
    </row>
    <row r="76" spans="1:13" x14ac:dyDescent="0.25">
      <c r="A76" s="170"/>
      <c r="B76" s="80"/>
      <c r="C76" s="187" t="s">
        <v>678</v>
      </c>
      <c r="D76" s="772">
        <f>IF(G11=0,"",IF(G9="One Lane",G45,IF(AND(G9="Two Lanes",G11=1),G46,IF(AND(G9="Two Lanes",G11=2),G48,
IF(G9=OtherVariables!A292,VLOOKUP(G35,OtherVariables!$C$292:$E$294,G11+1,FALSE))))))</f>
        <v>-1E-3</v>
      </c>
      <c r="E76" s="773"/>
      <c r="F76" s="773"/>
      <c r="G76" s="772">
        <f>IF(G21=0,"",IF(G9="One Lane",G45,IF(AND(G9="Two Lanes",G21=1),G46,IF(AND(G9="Two Lanes",G21=2),G48,
IF(G9=OtherVariables!A292,VLOOKUP(G37,OtherVariables!$C$292:$E$294,G21+1,FALSE))))))</f>
        <v>-1E-3</v>
      </c>
      <c r="H76" s="772">
        <f>IF(G16=0,"",IF(G9="One Lane",G45,IF(AND(G9="Two Lanes",G16=1),G46,IF(AND(G9="Two Lanes",G16=2),G48,
IF(G9=OtherVariables!A292,VLOOKUP(G36,OtherVariables!$C$292:$E$294,G16+1,FALSE))))))</f>
        <v>-1E-3</v>
      </c>
      <c r="I76" s="772">
        <f>IF(G26=0,"",IF(G9="One Lane",G45,IF(AND(G9="Two Lanes",G26=1),G46,IF(AND(G9="Two Lanes",G26=2),G48,
IF(G9=OtherVariables!A292,VLOOKUP(G38,OtherVariables!$C$292:$E$294,G26+1,FALSE))))))</f>
        <v>-1E-3</v>
      </c>
      <c r="J76" s="80"/>
      <c r="K76" s="170"/>
      <c r="M76" s="427"/>
    </row>
    <row r="77" spans="1:13" x14ac:dyDescent="0.25">
      <c r="A77" s="170"/>
      <c r="B77" s="80"/>
      <c r="C77" s="975"/>
      <c r="D77" s="975"/>
      <c r="E77" s="78"/>
      <c r="F77" s="78"/>
      <c r="G77" s="759" t="s">
        <v>694</v>
      </c>
      <c r="H77" s="759" t="s">
        <v>695</v>
      </c>
      <c r="I77" s="80"/>
      <c r="J77" s="80"/>
      <c r="K77" s="170"/>
      <c r="M77" s="427"/>
    </row>
    <row r="78" spans="1:13" x14ac:dyDescent="0.25">
      <c r="A78" s="170"/>
      <c r="B78" s="80"/>
      <c r="C78" s="187" t="s">
        <v>296</v>
      </c>
      <c r="D78" s="187"/>
      <c r="E78" s="140"/>
      <c r="F78" s="384"/>
      <c r="G78" s="760">
        <f>IF(D76=G48,1130*EXP(G47*$D$75),
IF(OR($D$75="",D76=""),"",(1130*EXP($D$76*$D$75))))</f>
        <v>523.04573711625756</v>
      </c>
      <c r="H78" s="774">
        <f>IF(G11=2,IF(D76=G48,1130*EXP(G48*$D$75),
IF($D$75="","",(1130*EXP($D$76*$D$75)))),"")</f>
        <v>523.04573711625756</v>
      </c>
      <c r="I78" s="413"/>
      <c r="J78" s="80"/>
      <c r="K78" s="170"/>
    </row>
    <row r="79" spans="1:13" x14ac:dyDescent="0.25">
      <c r="A79" s="170"/>
      <c r="B79" s="80"/>
      <c r="C79" s="187" t="s">
        <v>297</v>
      </c>
      <c r="D79" s="187"/>
      <c r="E79" s="140"/>
      <c r="F79" s="384"/>
      <c r="G79" s="760">
        <f>IF(H76=G48,1130*EXP(G47*$H$75),
IF(OR($H$75="",H76=""),"",(1130*EXP($H$76*$H$75))))</f>
        <v>573.82958418719113</v>
      </c>
      <c r="H79" s="774" t="str">
        <f>IF(G16=2,IF(H76=G48,1130*EXP(G48*$H$75),
IF($H$75="","",(1130*EXP($H$76*$H$75)))),"")</f>
        <v/>
      </c>
      <c r="I79" s="413"/>
      <c r="J79" s="80"/>
      <c r="K79" s="170"/>
      <c r="L79" s="771"/>
    </row>
    <row r="80" spans="1:13" x14ac:dyDescent="0.25">
      <c r="A80" s="170"/>
      <c r="B80" s="80"/>
      <c r="C80" s="187" t="s">
        <v>298</v>
      </c>
      <c r="D80" s="187"/>
      <c r="E80" s="140"/>
      <c r="F80" s="384"/>
      <c r="G80" s="760">
        <f>IF(G76=G48,1130*EXP(G47*$G$75),
IF(OR($G$75="",G76=""),"",(1130*EXP($G$76*$G$75))))</f>
        <v>831.43814957099539</v>
      </c>
      <c r="H80" s="774" t="str">
        <f>IF(G21=2,IF(G76=G48,1130*EXP(G48*$G$75),
IF($G$75="","",(1130*EXP($G$76*$G$75)))),"")</f>
        <v/>
      </c>
      <c r="I80" s="414"/>
      <c r="J80" s="80"/>
      <c r="K80" s="170"/>
      <c r="L80" s="771"/>
    </row>
    <row r="81" spans="1:14" x14ac:dyDescent="0.25">
      <c r="A81" s="170"/>
      <c r="B81" s="80"/>
      <c r="C81" s="187" t="s">
        <v>299</v>
      </c>
      <c r="D81" s="187"/>
      <c r="E81" s="140"/>
      <c r="F81" s="384"/>
      <c r="G81" s="760">
        <f>IF(I76=G48,1130*EXP(G47*$I$75),
IF(OR($I$75="",I76=""),"",(1130*EXP($I$76*$I$75))))</f>
        <v>623.53789633765189</v>
      </c>
      <c r="H81" s="774" t="str">
        <f>IF(G26=2,IF(I76=G48,1130*EXP(G48*$I$75),
IF($I$75="","",(1130*EXP($I$76*$I$75)))),"")</f>
        <v/>
      </c>
      <c r="I81" s="414"/>
      <c r="J81" s="150"/>
      <c r="K81" s="170"/>
    </row>
    <row r="82" spans="1:14" x14ac:dyDescent="0.25">
      <c r="A82" s="170"/>
      <c r="B82" s="77"/>
      <c r="C82" s="187" t="s">
        <v>301</v>
      </c>
      <c r="D82" s="187"/>
      <c r="E82" s="143"/>
      <c r="F82" s="385"/>
      <c r="G82" s="758">
        <f>IF(G78="","",(($D$73*G$44)/(MAX($G78:$H78)*G$44)))</f>
        <v>0.42282039661453463</v>
      </c>
      <c r="H82" s="775">
        <f>IF(H78="","",(($D$74*G$44)/(H78*G$44)))</f>
        <v>0.67745572840470036</v>
      </c>
      <c r="I82" s="413"/>
      <c r="J82" s="150"/>
      <c r="K82" s="170"/>
    </row>
    <row r="83" spans="1:14" x14ac:dyDescent="0.25">
      <c r="A83" s="170"/>
      <c r="B83" s="77"/>
      <c r="C83" s="187" t="s">
        <v>302</v>
      </c>
      <c r="D83" s="187"/>
      <c r="E83" s="143"/>
      <c r="F83" s="385"/>
      <c r="G83" s="758">
        <f>IF(G79="","",(($H$73*G$44)/(G79*G$44)))</f>
        <v>0.65862209359699897</v>
      </c>
      <c r="H83" s="775" t="str">
        <f>IF(H79="","",(($H$74*G$44)/(H79*G$44)))</f>
        <v/>
      </c>
      <c r="I83" s="415"/>
      <c r="J83" s="150"/>
      <c r="K83" s="170"/>
    </row>
    <row r="84" spans="1:14" x14ac:dyDescent="0.25">
      <c r="A84" s="170"/>
      <c r="B84" s="77"/>
      <c r="C84" s="187" t="s">
        <v>303</v>
      </c>
      <c r="D84" s="187"/>
      <c r="E84" s="143"/>
      <c r="F84" s="385"/>
      <c r="G84" s="758">
        <f>IF(G80="","",(($G$73*$G$44)/(G80*$G$44)))</f>
        <v>0.90395051965828133</v>
      </c>
      <c r="H84" s="775" t="str">
        <f>IF(H80="","",(($G$74*$G$44)/(H80*$G$44)))</f>
        <v/>
      </c>
      <c r="I84" s="310"/>
      <c r="J84" s="77"/>
      <c r="K84" s="170"/>
    </row>
    <row r="85" spans="1:14" x14ac:dyDescent="0.25">
      <c r="A85" s="170"/>
      <c r="B85" s="77"/>
      <c r="C85" s="187" t="s">
        <v>304</v>
      </c>
      <c r="D85" s="187"/>
      <c r="E85" s="143"/>
      <c r="F85" s="385"/>
      <c r="G85" s="758">
        <f>IF(G81="","",(($I$73*$G$44)/(G81*$G$44)))</f>
        <v>0.62850187477601271</v>
      </c>
      <c r="H85" s="775" t="str">
        <f>IF(H81="","",(($I$74*$G$44)/(H81*$G$44)))</f>
        <v/>
      </c>
      <c r="I85" s="310"/>
      <c r="J85" s="77"/>
      <c r="K85" s="170"/>
      <c r="N85" s="771"/>
    </row>
    <row r="86" spans="1:14" x14ac:dyDescent="0.25">
      <c r="A86" s="170"/>
      <c r="B86" s="77"/>
      <c r="C86" s="975" t="s">
        <v>273</v>
      </c>
      <c r="D86" s="975"/>
      <c r="E86" s="78"/>
      <c r="F86" s="78"/>
      <c r="G86" s="759" t="s">
        <v>694</v>
      </c>
      <c r="H86" s="759" t="s">
        <v>695</v>
      </c>
      <c r="I86" s="65"/>
      <c r="J86" s="77"/>
      <c r="K86" s="170"/>
    </row>
    <row r="87" spans="1:14" x14ac:dyDescent="0.25">
      <c r="A87" s="170"/>
      <c r="B87" s="77"/>
      <c r="C87" s="187" t="s">
        <v>284</v>
      </c>
      <c r="D87" s="187"/>
      <c r="E87" s="87"/>
      <c r="F87" s="383"/>
      <c r="G87" s="758">
        <f>IF(G78="",0,(3600/G78)+(900*0.25*(G82-1+SQRT((G82-1)^2+(((3600/G78)*G82)/(450*0.25)))))+5*MIN(G82,1))</f>
        <v>13.944668368677496</v>
      </c>
      <c r="H87" s="775">
        <f>IF(H78="",0,(3600/H78)+(900*0.25*(H82-1+SQRT((H82-1)^2+(((3600/H78)*H82)/(450*0.25)))))+5*MIN(H82,1))</f>
        <v>23.517202419671349</v>
      </c>
      <c r="I87" s="409"/>
      <c r="J87" s="77"/>
      <c r="K87" s="170"/>
    </row>
    <row r="88" spans="1:14" x14ac:dyDescent="0.25">
      <c r="A88" s="170"/>
      <c r="B88" s="77"/>
      <c r="C88" s="187" t="s">
        <v>285</v>
      </c>
      <c r="D88" s="187"/>
      <c r="E88" s="87"/>
      <c r="F88" s="383"/>
      <c r="G88" s="758">
        <f t="shared" ref="G88:H90" si="1">IF(G79="",0,(3600/G79)+(900*0.25*(G83-1+SQRT((G83-1)^2+(((3600/G79)*G83)/(450*0.25)))))+5*MIN(G83,1))</f>
        <v>20.842823804810962</v>
      </c>
      <c r="H88" s="775">
        <f t="shared" si="1"/>
        <v>0</v>
      </c>
      <c r="I88" s="310"/>
      <c r="J88" s="77"/>
      <c r="K88" s="170"/>
    </row>
    <row r="89" spans="1:14" x14ac:dyDescent="0.25">
      <c r="A89" s="170"/>
      <c r="B89" s="77"/>
      <c r="C89" s="187" t="s">
        <v>286</v>
      </c>
      <c r="D89" s="187"/>
      <c r="E89" s="87"/>
      <c r="F89" s="383"/>
      <c r="G89" s="758">
        <f t="shared" si="1"/>
        <v>34.443619173706345</v>
      </c>
      <c r="H89" s="775">
        <f t="shared" si="1"/>
        <v>0</v>
      </c>
      <c r="I89" s="310"/>
      <c r="J89" s="77"/>
      <c r="K89" s="170"/>
    </row>
    <row r="90" spans="1:14" x14ac:dyDescent="0.25">
      <c r="A90" s="170"/>
      <c r="B90" s="77"/>
      <c r="C90" s="187" t="s">
        <v>287</v>
      </c>
      <c r="D90" s="187"/>
      <c r="E90" s="87"/>
      <c r="F90" s="383"/>
      <c r="G90" s="758">
        <f t="shared" si="1"/>
        <v>18.171257851074376</v>
      </c>
      <c r="H90" s="775">
        <f t="shared" si="1"/>
        <v>0</v>
      </c>
      <c r="I90" s="410"/>
      <c r="J90" s="150"/>
      <c r="K90" s="170"/>
      <c r="M90" s="424"/>
    </row>
    <row r="91" spans="1:14" s="424" customFormat="1" x14ac:dyDescent="0.25">
      <c r="A91" s="170"/>
      <c r="B91" s="77"/>
      <c r="C91" s="188" t="s">
        <v>79</v>
      </c>
      <c r="D91" s="187"/>
      <c r="E91" s="87"/>
      <c r="F91" s="383"/>
      <c r="G91" s="983">
        <f>(G87*D73+G88*H73+G89*G73+G90*I73+H87*D74+H88*H74+H89*G74+H90*I74)/(SUM(D73:I74))</f>
        <v>24.942761802226048</v>
      </c>
      <c r="H91" s="984"/>
      <c r="I91" s="411"/>
      <c r="J91" s="150"/>
      <c r="K91" s="170"/>
      <c r="M91" s="771"/>
    </row>
    <row r="92" spans="1:14" x14ac:dyDescent="0.25">
      <c r="A92" s="170"/>
      <c r="B92" s="77"/>
      <c r="C92" s="193" t="s">
        <v>80</v>
      </c>
      <c r="D92" s="187"/>
      <c r="E92" s="87"/>
      <c r="F92" s="383"/>
      <c r="G92" s="983">
        <f>(SUM(G12,G17,G22,G27)*G$33)/3600</f>
        <v>19.477777777777778</v>
      </c>
      <c r="H92" s="984"/>
      <c r="I92" s="412"/>
      <c r="J92" s="77"/>
      <c r="K92" s="170"/>
    </row>
    <row r="93" spans="1:14" x14ac:dyDescent="0.25">
      <c r="A93" s="170"/>
      <c r="B93" s="77"/>
      <c r="C93" s="193" t="s">
        <v>81</v>
      </c>
      <c r="D93" s="187"/>
      <c r="E93" s="87"/>
      <c r="F93" s="383"/>
      <c r="G93" s="983">
        <f>(SUM(G12,G17,G22,G27)*G$91)/3600</f>
        <v>12.145739288695072</v>
      </c>
      <c r="H93" s="984"/>
      <c r="I93" s="408"/>
      <c r="J93" s="77"/>
      <c r="K93" s="170"/>
    </row>
    <row r="94" spans="1:14" x14ac:dyDescent="0.25">
      <c r="A94" s="170"/>
      <c r="B94" s="77"/>
      <c r="C94" s="23"/>
      <c r="D94" s="120"/>
      <c r="E94" s="78"/>
      <c r="F94" s="78"/>
      <c r="G94" s="78"/>
      <c r="H94" s="77"/>
      <c r="I94" s="77"/>
      <c r="J94" s="77"/>
      <c r="K94" s="170"/>
    </row>
    <row r="95" spans="1:14" x14ac:dyDescent="0.25">
      <c r="A95" s="170"/>
      <c r="B95" s="77"/>
      <c r="C95" s="193" t="s">
        <v>204</v>
      </c>
      <c r="D95" s="187"/>
      <c r="E95" s="147"/>
      <c r="F95" s="382"/>
      <c r="G95" s="971">
        <f t="shared" ref="G95:G101" si="2">G$42*((G$92*(1-G$31)*G50))+(G$92*G$31*G57)</f>
        <v>604107.96716925502</v>
      </c>
      <c r="H95" s="971"/>
      <c r="I95" s="408"/>
      <c r="J95" s="77"/>
      <c r="K95" s="170"/>
    </row>
    <row r="96" spans="1:14" x14ac:dyDescent="0.25">
      <c r="A96" s="170"/>
      <c r="B96" s="77"/>
      <c r="C96" s="193" t="s">
        <v>275</v>
      </c>
      <c r="D96" s="187"/>
      <c r="E96" s="147"/>
      <c r="F96" s="382"/>
      <c r="G96" s="971">
        <f t="shared" si="2"/>
        <v>203.49360371955893</v>
      </c>
      <c r="H96" s="971"/>
      <c r="I96" s="408"/>
      <c r="J96" s="77"/>
      <c r="K96" s="170"/>
    </row>
    <row r="97" spans="1:11" x14ac:dyDescent="0.25">
      <c r="A97" s="170"/>
      <c r="B97" s="77"/>
      <c r="C97" s="193" t="s">
        <v>206</v>
      </c>
      <c r="D97" s="187"/>
      <c r="E97" s="147"/>
      <c r="F97" s="382"/>
      <c r="G97" s="971">
        <f t="shared" si="2"/>
        <v>11.88340122791948</v>
      </c>
      <c r="H97" s="971"/>
      <c r="I97" s="408"/>
      <c r="J97" s="77"/>
      <c r="K97" s="170"/>
    </row>
    <row r="98" spans="1:11" x14ac:dyDescent="0.25">
      <c r="A98" s="170"/>
      <c r="B98" s="77"/>
      <c r="C98" s="193" t="s">
        <v>276</v>
      </c>
      <c r="D98" s="187"/>
      <c r="E98" s="147"/>
      <c r="F98" s="382"/>
      <c r="G98" s="971">
        <f t="shared" si="2"/>
        <v>373.86045249866083</v>
      </c>
      <c r="H98" s="971"/>
      <c r="I98" s="408"/>
      <c r="J98" s="77"/>
      <c r="K98" s="170"/>
    </row>
    <row r="99" spans="1:11" x14ac:dyDescent="0.25">
      <c r="A99" s="170"/>
      <c r="B99" s="77"/>
      <c r="C99" s="193" t="s">
        <v>205</v>
      </c>
      <c r="D99" s="187"/>
      <c r="E99" s="147"/>
      <c r="F99" s="382"/>
      <c r="G99" s="971">
        <f t="shared" si="2"/>
        <v>456.06418831045409</v>
      </c>
      <c r="H99" s="971"/>
      <c r="I99" s="408"/>
      <c r="J99" s="77"/>
      <c r="K99" s="170"/>
    </row>
    <row r="100" spans="1:11" x14ac:dyDescent="0.25">
      <c r="A100" s="170"/>
      <c r="B100" s="77"/>
      <c r="C100" s="193" t="s">
        <v>594</v>
      </c>
      <c r="D100" s="187"/>
      <c r="E100" s="147"/>
      <c r="F100" s="382"/>
      <c r="G100" s="971">
        <f t="shared" si="2"/>
        <v>8.4881134857660694</v>
      </c>
      <c r="H100" s="971"/>
      <c r="I100" s="408"/>
      <c r="J100" s="77"/>
      <c r="K100" s="170"/>
    </row>
    <row r="101" spans="1:11" x14ac:dyDescent="0.25">
      <c r="A101" s="170"/>
      <c r="B101" s="77"/>
      <c r="C101" s="193" t="s">
        <v>595</v>
      </c>
      <c r="D101" s="187"/>
      <c r="E101" s="147"/>
      <c r="F101" s="382"/>
      <c r="G101" s="971">
        <f t="shared" si="2"/>
        <v>3000.7969569201928</v>
      </c>
      <c r="H101" s="971"/>
      <c r="I101" s="408"/>
      <c r="J101" s="77"/>
      <c r="K101" s="170"/>
    </row>
    <row r="102" spans="1:11" x14ac:dyDescent="0.25">
      <c r="A102" s="170"/>
      <c r="B102" s="77"/>
      <c r="C102" s="193" t="s">
        <v>207</v>
      </c>
      <c r="D102" s="187"/>
      <c r="E102" s="147"/>
      <c r="F102" s="382"/>
      <c r="G102" s="971">
        <f t="shared" ref="G102:G108" si="3">G$42*((G$93*(1-G$31)*G50))+(G$93*G$31*G57)</f>
        <v>376703.028198243</v>
      </c>
      <c r="H102" s="971"/>
      <c r="I102" s="408"/>
      <c r="J102" s="77"/>
      <c r="K102" s="170"/>
    </row>
    <row r="103" spans="1:11" x14ac:dyDescent="0.25">
      <c r="A103" s="170"/>
      <c r="B103" s="77"/>
      <c r="C103" s="193" t="s">
        <v>277</v>
      </c>
      <c r="D103" s="187"/>
      <c r="E103" s="147"/>
      <c r="F103" s="382"/>
      <c r="G103" s="971">
        <f t="shared" si="3"/>
        <v>126.89231214633847</v>
      </c>
      <c r="H103" s="971"/>
      <c r="I103" s="408"/>
      <c r="J103" s="77"/>
      <c r="K103" s="170"/>
    </row>
    <row r="104" spans="1:11" x14ac:dyDescent="0.25">
      <c r="A104" s="170"/>
      <c r="B104" s="77"/>
      <c r="C104" s="193" t="s">
        <v>209</v>
      </c>
      <c r="D104" s="187"/>
      <c r="E104" s="147"/>
      <c r="F104" s="382"/>
      <c r="G104" s="971">
        <f t="shared" si="3"/>
        <v>7.4101211557069027</v>
      </c>
      <c r="H104" s="971"/>
      <c r="I104" s="408"/>
      <c r="J104" s="77"/>
      <c r="K104" s="170"/>
    </row>
    <row r="105" spans="1:11" x14ac:dyDescent="0.25">
      <c r="A105" s="170"/>
      <c r="B105" s="77"/>
      <c r="C105" s="193" t="s">
        <v>278</v>
      </c>
      <c r="D105" s="187"/>
      <c r="E105" s="147"/>
      <c r="F105" s="382"/>
      <c r="G105" s="971">
        <f t="shared" si="3"/>
        <v>233.12780534866363</v>
      </c>
      <c r="H105" s="971"/>
      <c r="I105" s="408"/>
      <c r="J105" s="77"/>
      <c r="K105" s="170"/>
    </row>
    <row r="106" spans="1:11" x14ac:dyDescent="0.25">
      <c r="A106" s="170"/>
      <c r="B106" s="77"/>
      <c r="C106" s="193" t="s">
        <v>208</v>
      </c>
      <c r="D106" s="187"/>
      <c r="E106" s="147"/>
      <c r="F106" s="382"/>
      <c r="G106" s="971">
        <f t="shared" si="3"/>
        <v>284.38751038883055</v>
      </c>
      <c r="H106" s="971"/>
      <c r="I106" s="408"/>
      <c r="J106" s="154"/>
      <c r="K106" s="170"/>
    </row>
    <row r="107" spans="1:11" ht="13.5" customHeight="1" x14ac:dyDescent="0.25">
      <c r="A107" s="170"/>
      <c r="B107" s="77"/>
      <c r="C107" s="196" t="s">
        <v>596</v>
      </c>
      <c r="D107" s="187"/>
      <c r="E107" s="147"/>
      <c r="F107" s="382"/>
      <c r="G107" s="971">
        <f t="shared" si="3"/>
        <v>5.2929248206431412</v>
      </c>
      <c r="H107" s="971"/>
      <c r="I107" s="408"/>
      <c r="J107" s="154"/>
      <c r="K107" s="170"/>
    </row>
    <row r="108" spans="1:11" x14ac:dyDescent="0.25">
      <c r="A108" s="170"/>
      <c r="B108" s="77"/>
      <c r="C108" s="196" t="s">
        <v>597</v>
      </c>
      <c r="D108" s="187"/>
      <c r="E108" s="147"/>
      <c r="F108" s="382"/>
      <c r="G108" s="971">
        <f t="shared" si="3"/>
        <v>1871.2040928326287</v>
      </c>
      <c r="H108" s="971"/>
      <c r="I108" s="408"/>
      <c r="J108" s="154"/>
      <c r="K108" s="170"/>
    </row>
    <row r="109" spans="1:11" x14ac:dyDescent="0.25">
      <c r="A109" s="170"/>
      <c r="B109" s="77"/>
      <c r="C109" s="23"/>
      <c r="D109" s="120"/>
      <c r="E109" s="392"/>
      <c r="F109" s="392"/>
      <c r="G109" s="393"/>
      <c r="H109" s="393"/>
      <c r="I109" s="77"/>
      <c r="J109" s="154"/>
      <c r="K109" s="170"/>
    </row>
    <row r="110" spans="1:11" ht="15.75" x14ac:dyDescent="0.25">
      <c r="A110" s="170"/>
      <c r="B110" s="80"/>
      <c r="C110" s="985" t="s">
        <v>318</v>
      </c>
      <c r="D110" s="985"/>
      <c r="E110" s="985"/>
      <c r="F110" s="985"/>
      <c r="G110" s="985"/>
      <c r="H110" s="985"/>
      <c r="I110" s="985"/>
      <c r="J110" s="149"/>
      <c r="K110" s="170"/>
    </row>
    <row r="111" spans="1:11" ht="16.5" thickBot="1" x14ac:dyDescent="0.3">
      <c r="A111" s="170"/>
      <c r="B111" s="80"/>
      <c r="C111" s="167" t="s">
        <v>319</v>
      </c>
      <c r="D111" s="168"/>
      <c r="E111" s="168"/>
      <c r="F111" s="168"/>
      <c r="G111" s="724"/>
      <c r="H111" s="724"/>
      <c r="I111" s="724"/>
      <c r="J111" s="149"/>
      <c r="K111" s="170"/>
    </row>
    <row r="112" spans="1:11" x14ac:dyDescent="0.25">
      <c r="A112" s="170"/>
      <c r="B112" s="80"/>
      <c r="C112" s="998" t="s">
        <v>116</v>
      </c>
      <c r="D112" s="999"/>
      <c r="E112" s="999"/>
      <c r="F112" s="999"/>
      <c r="G112" s="1000"/>
      <c r="H112" s="1001">
        <f>(G92*G42*G43)-(G93*G42*G43)</f>
        <v>18330.096222706768</v>
      </c>
      <c r="I112" s="1002"/>
      <c r="J112" s="407"/>
      <c r="K112" s="170"/>
    </row>
    <row r="113" spans="1:11" ht="15.75" thickBot="1" x14ac:dyDescent="0.3">
      <c r="A113" s="170"/>
      <c r="B113" s="77"/>
      <c r="C113" s="899" t="s">
        <v>49</v>
      </c>
      <c r="D113" s="900"/>
      <c r="E113" s="900"/>
      <c r="F113" s="900"/>
      <c r="G113" s="901"/>
      <c r="H113" s="1003" t="s">
        <v>187</v>
      </c>
      <c r="I113" s="1004"/>
      <c r="J113" s="489"/>
      <c r="K113" s="170"/>
    </row>
    <row r="114" spans="1:11" x14ac:dyDescent="0.25">
      <c r="A114" s="170"/>
      <c r="B114" s="389"/>
      <c r="C114" s="810"/>
      <c r="D114" s="811"/>
      <c r="E114" s="812"/>
      <c r="F114" s="812"/>
      <c r="G114" s="812"/>
      <c r="H114" s="813"/>
      <c r="I114" s="814"/>
      <c r="J114" s="156"/>
      <c r="K114" s="170"/>
    </row>
    <row r="115" spans="1:11" ht="15.75" thickBot="1" x14ac:dyDescent="0.3">
      <c r="A115" s="170"/>
      <c r="B115" s="389"/>
      <c r="C115" s="808" t="s">
        <v>329</v>
      </c>
      <c r="D115" s="815"/>
      <c r="E115" s="816"/>
      <c r="F115" s="816"/>
      <c r="G115" s="816"/>
      <c r="H115" s="817"/>
      <c r="I115" s="817"/>
      <c r="J115" s="156"/>
      <c r="K115" s="170"/>
    </row>
    <row r="116" spans="1:11" x14ac:dyDescent="0.25">
      <c r="A116" s="170"/>
      <c r="B116" s="81"/>
      <c r="C116" s="980" t="s">
        <v>701</v>
      </c>
      <c r="D116" s="981"/>
      <c r="E116" s="981"/>
      <c r="F116" s="981"/>
      <c r="G116" s="982"/>
      <c r="H116" s="1005">
        <f t="shared" ref="H116:H122" si="4">((G95-G102)*G$43)/1000</f>
        <v>56851.234742753004</v>
      </c>
      <c r="I116" s="1006"/>
      <c r="J116" s="77"/>
      <c r="K116" s="170"/>
    </row>
    <row r="117" spans="1:11" x14ac:dyDescent="0.25">
      <c r="A117" s="170"/>
      <c r="B117" s="81"/>
      <c r="C117" s="995" t="s">
        <v>702</v>
      </c>
      <c r="D117" s="996"/>
      <c r="E117" s="996"/>
      <c r="F117" s="996"/>
      <c r="G117" s="997"/>
      <c r="H117" s="1007">
        <f t="shared" si="4"/>
        <v>19.150322893305116</v>
      </c>
      <c r="I117" s="1008"/>
      <c r="J117" s="77"/>
      <c r="K117" s="170"/>
    </row>
    <row r="118" spans="1:11" x14ac:dyDescent="0.25">
      <c r="A118" s="170"/>
      <c r="B118" s="81"/>
      <c r="C118" s="995" t="s">
        <v>703</v>
      </c>
      <c r="D118" s="996"/>
      <c r="E118" s="996"/>
      <c r="F118" s="996"/>
      <c r="G118" s="997"/>
      <c r="H118" s="1007">
        <f t="shared" si="4"/>
        <v>1.1183200180531443</v>
      </c>
      <c r="I118" s="1008"/>
      <c r="J118" s="77"/>
      <c r="K118" s="170"/>
    </row>
    <row r="119" spans="1:11" x14ac:dyDescent="0.25">
      <c r="A119" s="170"/>
      <c r="B119" s="81"/>
      <c r="C119" s="986" t="s">
        <v>704</v>
      </c>
      <c r="D119" s="987"/>
      <c r="E119" s="987"/>
      <c r="F119" s="987"/>
      <c r="G119" s="988"/>
      <c r="H119" s="1009">
        <f t="shared" si="4"/>
        <v>35.183161787499301</v>
      </c>
      <c r="I119" s="1010"/>
      <c r="J119" s="77"/>
      <c r="K119" s="170"/>
    </row>
    <row r="120" spans="1:11" x14ac:dyDescent="0.25">
      <c r="A120" s="170"/>
      <c r="B120" s="81"/>
      <c r="C120" s="986" t="s">
        <v>705</v>
      </c>
      <c r="D120" s="987"/>
      <c r="E120" s="987"/>
      <c r="F120" s="987"/>
      <c r="G120" s="988"/>
      <c r="H120" s="1009">
        <f t="shared" si="4"/>
        <v>42.919169480405884</v>
      </c>
      <c r="I120" s="1010"/>
      <c r="J120" s="77"/>
      <c r="K120" s="170"/>
    </row>
    <row r="121" spans="1:11" x14ac:dyDescent="0.25">
      <c r="A121" s="170"/>
      <c r="B121" s="81"/>
      <c r="C121" s="986" t="s">
        <v>706</v>
      </c>
      <c r="D121" s="987"/>
      <c r="E121" s="987"/>
      <c r="F121" s="987"/>
      <c r="G121" s="988"/>
      <c r="H121" s="1009">
        <f t="shared" si="4"/>
        <v>0.79879716628073205</v>
      </c>
      <c r="I121" s="1010"/>
      <c r="J121" s="77"/>
      <c r="K121" s="170"/>
    </row>
    <row r="122" spans="1:11" ht="15.75" thickBot="1" x14ac:dyDescent="0.3">
      <c r="A122" s="170"/>
      <c r="B122" s="81"/>
      <c r="C122" s="992" t="s">
        <v>707</v>
      </c>
      <c r="D122" s="993"/>
      <c r="E122" s="993"/>
      <c r="F122" s="993"/>
      <c r="G122" s="994"/>
      <c r="H122" s="1011">
        <f t="shared" si="4"/>
        <v>282.39821602189102</v>
      </c>
      <c r="I122" s="1012"/>
      <c r="J122" s="77"/>
      <c r="K122" s="170"/>
    </row>
    <row r="123" spans="1:11" x14ac:dyDescent="0.25">
      <c r="A123" s="170"/>
      <c r="B123" s="81"/>
      <c r="C123" s="980" t="s">
        <v>722</v>
      </c>
      <c r="D123" s="981"/>
      <c r="E123" s="981"/>
      <c r="F123" s="981"/>
      <c r="G123" s="982"/>
      <c r="H123" s="1013">
        <f t="shared" ref="H123:H129" si="5">(G95-G102)/1000</f>
        <v>227.40493897101203</v>
      </c>
      <c r="I123" s="1014"/>
      <c r="J123" s="77"/>
      <c r="K123" s="170"/>
    </row>
    <row r="124" spans="1:11" x14ac:dyDescent="0.25">
      <c r="A124" s="170"/>
      <c r="B124" s="81"/>
      <c r="C124" s="986" t="s">
        <v>723</v>
      </c>
      <c r="D124" s="987"/>
      <c r="E124" s="987"/>
      <c r="F124" s="987"/>
      <c r="G124" s="988"/>
      <c r="H124" s="1015">
        <f t="shared" si="5"/>
        <v>7.6601291573220459E-2</v>
      </c>
      <c r="I124" s="1016"/>
      <c r="J124" s="77"/>
      <c r="K124" s="170"/>
    </row>
    <row r="125" spans="1:11" x14ac:dyDescent="0.25">
      <c r="A125" s="170"/>
      <c r="B125" s="81"/>
      <c r="C125" s="986" t="s">
        <v>724</v>
      </c>
      <c r="D125" s="987"/>
      <c r="E125" s="987"/>
      <c r="F125" s="987"/>
      <c r="G125" s="988"/>
      <c r="H125" s="1015">
        <f t="shared" si="5"/>
        <v>4.4732800722125775E-3</v>
      </c>
      <c r="I125" s="1016"/>
      <c r="J125" s="77"/>
      <c r="K125" s="170"/>
    </row>
    <row r="126" spans="1:11" x14ac:dyDescent="0.25">
      <c r="A126" s="170"/>
      <c r="B126" s="77"/>
      <c r="C126" s="995" t="s">
        <v>725</v>
      </c>
      <c r="D126" s="996"/>
      <c r="E126" s="996"/>
      <c r="F126" s="996"/>
      <c r="G126" s="997"/>
      <c r="H126" s="1021">
        <f t="shared" si="5"/>
        <v>0.1407326471499972</v>
      </c>
      <c r="I126" s="1022"/>
      <c r="J126" s="77"/>
      <c r="K126" s="170"/>
    </row>
    <row r="127" spans="1:11" x14ac:dyDescent="0.25">
      <c r="A127" s="170"/>
      <c r="B127" s="77"/>
      <c r="C127" s="995" t="s">
        <v>726</v>
      </c>
      <c r="D127" s="996"/>
      <c r="E127" s="996"/>
      <c r="F127" s="996"/>
      <c r="G127" s="997"/>
      <c r="H127" s="1021">
        <f t="shared" si="5"/>
        <v>0.17167667792162353</v>
      </c>
      <c r="I127" s="1022"/>
      <c r="J127" s="77"/>
      <c r="K127" s="170"/>
    </row>
    <row r="128" spans="1:11" x14ac:dyDescent="0.25">
      <c r="A128" s="170"/>
      <c r="B128" s="77"/>
      <c r="C128" s="986" t="s">
        <v>727</v>
      </c>
      <c r="D128" s="987"/>
      <c r="E128" s="987"/>
      <c r="F128" s="987"/>
      <c r="G128" s="988"/>
      <c r="H128" s="1015">
        <f t="shared" si="5"/>
        <v>3.1951886651229284E-3</v>
      </c>
      <c r="I128" s="1016"/>
      <c r="J128" s="77"/>
      <c r="K128" s="170"/>
    </row>
    <row r="129" spans="1:11" ht="15.75" thickBot="1" x14ac:dyDescent="0.3">
      <c r="A129" s="170"/>
      <c r="B129" s="77"/>
      <c r="C129" s="989" t="s">
        <v>728</v>
      </c>
      <c r="D129" s="990"/>
      <c r="E129" s="990"/>
      <c r="F129" s="990"/>
      <c r="G129" s="991"/>
      <c r="H129" s="1023">
        <f t="shared" si="5"/>
        <v>1.1295928640875641</v>
      </c>
      <c r="I129" s="1024"/>
      <c r="J129" s="77"/>
      <c r="K129" s="170"/>
    </row>
    <row r="130" spans="1:11" ht="15.75" thickBot="1" x14ac:dyDescent="0.3">
      <c r="A130" s="170"/>
      <c r="B130" s="82"/>
      <c r="C130" s="43"/>
      <c r="D130" s="43"/>
      <c r="E130" s="43"/>
      <c r="F130" s="43"/>
      <c r="G130" s="43"/>
      <c r="H130" s="43"/>
      <c r="I130" s="43"/>
      <c r="J130" s="82"/>
      <c r="K130" s="170"/>
    </row>
    <row r="131" spans="1:11" x14ac:dyDescent="0.25">
      <c r="A131" s="170"/>
      <c r="B131" s="77"/>
      <c r="C131" s="980" t="s">
        <v>715</v>
      </c>
      <c r="D131" s="981"/>
      <c r="E131" s="981"/>
      <c r="F131" s="981"/>
      <c r="G131" s="982"/>
      <c r="H131" s="1025">
        <v>2504000</v>
      </c>
      <c r="I131" s="1026"/>
      <c r="J131" s="77"/>
      <c r="K131" s="170"/>
    </row>
    <row r="132" spans="1:11" x14ac:dyDescent="0.25">
      <c r="A132" s="170"/>
      <c r="B132" s="77"/>
      <c r="C132" s="986" t="s">
        <v>716</v>
      </c>
      <c r="D132" s="987"/>
      <c r="E132" s="987"/>
      <c r="F132" s="987"/>
      <c r="G132" s="988"/>
      <c r="H132" s="955">
        <v>20</v>
      </c>
      <c r="I132" s="956"/>
      <c r="J132" s="77"/>
      <c r="K132" s="170"/>
    </row>
    <row r="133" spans="1:11" x14ac:dyDescent="0.25">
      <c r="A133" s="170"/>
      <c r="B133" s="77"/>
      <c r="C133" s="995" t="s">
        <v>717</v>
      </c>
      <c r="D133" s="996"/>
      <c r="E133" s="996"/>
      <c r="F133" s="996"/>
      <c r="G133" s="997"/>
      <c r="H133" s="1019">
        <f>(H$131/H$132)/H117</f>
        <v>6537.7487730908952</v>
      </c>
      <c r="I133" s="1020"/>
      <c r="J133" s="77"/>
      <c r="K133" s="170"/>
    </row>
    <row r="134" spans="1:11" x14ac:dyDescent="0.25">
      <c r="A134" s="170"/>
      <c r="B134" s="77"/>
      <c r="C134" s="995" t="s">
        <v>718</v>
      </c>
      <c r="D134" s="996"/>
      <c r="E134" s="996"/>
      <c r="F134" s="996"/>
      <c r="G134" s="997"/>
      <c r="H134" s="1019">
        <f>(H$131/H$132)/H118</f>
        <v>111953.64294556543</v>
      </c>
      <c r="I134" s="1020"/>
      <c r="J134" s="77"/>
      <c r="K134" s="170"/>
    </row>
    <row r="135" spans="1:11" x14ac:dyDescent="0.25">
      <c r="A135" s="170"/>
      <c r="B135" s="77"/>
      <c r="C135" s="995" t="s">
        <v>719</v>
      </c>
      <c r="D135" s="996"/>
      <c r="E135" s="996"/>
      <c r="F135" s="996"/>
      <c r="G135" s="997"/>
      <c r="H135" s="1019">
        <f>(H$131/H$132/G$43)/H126</f>
        <v>3558.5204296358606</v>
      </c>
      <c r="I135" s="1020"/>
      <c r="J135" s="77"/>
      <c r="K135" s="170"/>
    </row>
    <row r="136" spans="1:11" x14ac:dyDescent="0.25">
      <c r="A136" s="170"/>
      <c r="B136" s="77"/>
      <c r="C136" s="995" t="s">
        <v>720</v>
      </c>
      <c r="D136" s="996"/>
      <c r="E136" s="996"/>
      <c r="F136" s="996"/>
      <c r="G136" s="997"/>
      <c r="H136" s="1019">
        <f>(H$131/H$132/G$43)/H127</f>
        <v>2917.1114333225441</v>
      </c>
      <c r="I136" s="1020"/>
      <c r="J136" s="77"/>
      <c r="K136" s="170"/>
    </row>
    <row r="137" spans="1:11" ht="15.75" thickBot="1" x14ac:dyDescent="0.3">
      <c r="A137" s="170"/>
      <c r="B137" s="77"/>
      <c r="C137" s="989" t="s">
        <v>721</v>
      </c>
      <c r="D137" s="990"/>
      <c r="E137" s="990"/>
      <c r="F137" s="990"/>
      <c r="G137" s="991"/>
      <c r="H137" s="1017">
        <f>(H$131/H$132/G$43)/H129</f>
        <v>443.34557690794588</v>
      </c>
      <c r="I137" s="1018"/>
      <c r="J137" s="77"/>
      <c r="K137" s="170"/>
    </row>
    <row r="138" spans="1:11" x14ac:dyDescent="0.25">
      <c r="A138" s="170"/>
      <c r="B138" s="82"/>
      <c r="C138" s="43"/>
      <c r="D138" s="43"/>
      <c r="E138" s="43"/>
      <c r="F138" s="43"/>
      <c r="G138" s="43"/>
      <c r="H138" s="43"/>
      <c r="I138" s="43"/>
      <c r="J138" s="82"/>
      <c r="K138" s="170"/>
    </row>
    <row r="139" spans="1:11" x14ac:dyDescent="0.25">
      <c r="A139" s="170"/>
      <c r="B139" s="170"/>
      <c r="C139" s="170"/>
      <c r="D139" s="170"/>
      <c r="E139" s="170"/>
      <c r="F139" s="170"/>
      <c r="G139" s="170"/>
      <c r="H139" s="170"/>
      <c r="I139" s="170"/>
      <c r="J139" s="170"/>
      <c r="K139" s="170"/>
    </row>
    <row r="142" spans="1:11" x14ac:dyDescent="0.25">
      <c r="C142" s="425"/>
      <c r="D142" s="425"/>
      <c r="E142" s="426"/>
    </row>
    <row r="143" spans="1:11" x14ac:dyDescent="0.25">
      <c r="H143" s="424"/>
      <c r="I143" s="424"/>
    </row>
  </sheetData>
  <mergeCells count="124">
    <mergeCell ref="H137:I137"/>
    <mergeCell ref="H132:I132"/>
    <mergeCell ref="H133:I133"/>
    <mergeCell ref="H134:I134"/>
    <mergeCell ref="H135:I135"/>
    <mergeCell ref="H136:I136"/>
    <mergeCell ref="H126:I126"/>
    <mergeCell ref="H127:I127"/>
    <mergeCell ref="H128:I128"/>
    <mergeCell ref="H129:I129"/>
    <mergeCell ref="H131:I131"/>
    <mergeCell ref="C136:G136"/>
    <mergeCell ref="C137:G137"/>
    <mergeCell ref="C112:G112"/>
    <mergeCell ref="C113:G113"/>
    <mergeCell ref="H112:I112"/>
    <mergeCell ref="H113:I113"/>
    <mergeCell ref="H116:I116"/>
    <mergeCell ref="H117:I117"/>
    <mergeCell ref="H118:I118"/>
    <mergeCell ref="H119:I119"/>
    <mergeCell ref="H120:I120"/>
    <mergeCell ref="H121:I121"/>
    <mergeCell ref="H122:I122"/>
    <mergeCell ref="H123:I123"/>
    <mergeCell ref="H124:I124"/>
    <mergeCell ref="H125:I125"/>
    <mergeCell ref="C131:G131"/>
    <mergeCell ref="C132:G132"/>
    <mergeCell ref="C133:G133"/>
    <mergeCell ref="C134:G134"/>
    <mergeCell ref="C135:G135"/>
    <mergeCell ref="C125:G125"/>
    <mergeCell ref="C126:G126"/>
    <mergeCell ref="C127:G127"/>
    <mergeCell ref="C128:G128"/>
    <mergeCell ref="C129:G129"/>
    <mergeCell ref="C120:G120"/>
    <mergeCell ref="C121:G121"/>
    <mergeCell ref="C122:G122"/>
    <mergeCell ref="C123:G123"/>
    <mergeCell ref="C124:G124"/>
    <mergeCell ref="C117:G117"/>
    <mergeCell ref="C118:G118"/>
    <mergeCell ref="C119:G119"/>
    <mergeCell ref="C116:G116"/>
    <mergeCell ref="G91:H91"/>
    <mergeCell ref="G92:H92"/>
    <mergeCell ref="G93:H93"/>
    <mergeCell ref="G18:H18"/>
    <mergeCell ref="G19:H19"/>
    <mergeCell ref="G62:H62"/>
    <mergeCell ref="G63:H63"/>
    <mergeCell ref="G55:H55"/>
    <mergeCell ref="G56:H56"/>
    <mergeCell ref="G58:H58"/>
    <mergeCell ref="G59:H59"/>
    <mergeCell ref="G61:H61"/>
    <mergeCell ref="G60:H60"/>
    <mergeCell ref="G27:H27"/>
    <mergeCell ref="G28:H28"/>
    <mergeCell ref="G53:H53"/>
    <mergeCell ref="C86:D86"/>
    <mergeCell ref="G103:H103"/>
    <mergeCell ref="G104:H104"/>
    <mergeCell ref="G105:H105"/>
    <mergeCell ref="G106:H106"/>
    <mergeCell ref="C110:I110"/>
    <mergeCell ref="G107:H107"/>
    <mergeCell ref="C6:F6"/>
    <mergeCell ref="C7:D7"/>
    <mergeCell ref="C40:F40"/>
    <mergeCell ref="C41:D41"/>
    <mergeCell ref="C49:D49"/>
    <mergeCell ref="C32:D32"/>
    <mergeCell ref="C33:D33"/>
    <mergeCell ref="C4:I4"/>
    <mergeCell ref="C77:D77"/>
    <mergeCell ref="G8:H8"/>
    <mergeCell ref="G12:H12"/>
    <mergeCell ref="G13:H13"/>
    <mergeCell ref="G14:H14"/>
    <mergeCell ref="G7:H7"/>
    <mergeCell ref="G17:H17"/>
    <mergeCell ref="C65:I65"/>
    <mergeCell ref="G66:H66"/>
    <mergeCell ref="G35:H35"/>
    <mergeCell ref="G36:H36"/>
    <mergeCell ref="G37:H37"/>
    <mergeCell ref="G38:H38"/>
    <mergeCell ref="G54:H54"/>
    <mergeCell ref="G57:H57"/>
    <mergeCell ref="G40:H40"/>
    <mergeCell ref="G108:H108"/>
    <mergeCell ref="G102:H102"/>
    <mergeCell ref="G101:H101"/>
    <mergeCell ref="G95:H95"/>
    <mergeCell ref="G100:H100"/>
    <mergeCell ref="G96:H96"/>
    <mergeCell ref="G97:H97"/>
    <mergeCell ref="G98:H98"/>
    <mergeCell ref="G99:H99"/>
    <mergeCell ref="G45:H45"/>
    <mergeCell ref="G42:H42"/>
    <mergeCell ref="G43:H43"/>
    <mergeCell ref="G44:H44"/>
    <mergeCell ref="G50:H50"/>
    <mergeCell ref="G51:H51"/>
    <mergeCell ref="G52:H52"/>
    <mergeCell ref="G46:H46"/>
    <mergeCell ref="G47:H47"/>
    <mergeCell ref="G48:H48"/>
    <mergeCell ref="G9:H9"/>
    <mergeCell ref="G16:H16"/>
    <mergeCell ref="G11:H11"/>
    <mergeCell ref="G21:H21"/>
    <mergeCell ref="G26:H26"/>
    <mergeCell ref="G29:H29"/>
    <mergeCell ref="G31:H31"/>
    <mergeCell ref="G32:H32"/>
    <mergeCell ref="G33:H33"/>
    <mergeCell ref="G22:H22"/>
    <mergeCell ref="G23:H23"/>
    <mergeCell ref="G24:H24"/>
  </mergeCells>
  <conditionalFormatting sqref="G82:H85">
    <cfRule type="cellIs" dxfId="4" priority="1" operator="between">
      <formula>1</formula>
      <formula>5000</formula>
    </cfRule>
  </conditionalFormatting>
  <printOptions headings="1" gridLines="1"/>
  <pageMargins left="0.7" right="0.7" top="0.75" bottom="0.75" header="0.3" footer="0.3"/>
  <pageSetup paperSize="17" scale="53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CFCA92A-2BF4-44AC-BD66-54AC735B44CF}">
            <xm:f>$G$9=OtherVariables!$A$292</xm:f>
            <x14:dxf>
              <font>
                <color auto="1"/>
              </font>
            </x14:dxf>
          </x14:cfRule>
          <xm:sqref>C34:I34</xm:sqref>
        </x14:conditionalFormatting>
        <x14:conditionalFormatting xmlns:xm="http://schemas.microsoft.com/office/excel/2006/main">
          <x14:cfRule type="expression" priority="4" id="{2C826F2A-D220-467B-888F-88C83744164C}">
            <xm:f>$G$9=OtherVariables!$A$292</xm:f>
            <x14:dxf>
              <font>
                <color auto="1"/>
              </font>
              <fill>
                <patternFill>
                  <bgColor theme="0" tint="-4.9989318521683403E-2"/>
                </patternFill>
              </fill>
            </x14:dxf>
          </x14:cfRule>
          <xm:sqref>C35:C38</xm:sqref>
        </x14:conditionalFormatting>
        <x14:conditionalFormatting xmlns:xm="http://schemas.microsoft.com/office/excel/2006/main">
          <x14:cfRule type="expression" priority="2" id="{67324A03-4AEB-4B72-8E2B-EABC81FF9427}">
            <xm:f>$G$9=OtherVariables!$A$291</xm:f>
            <x14:dxf>
              <font>
                <color theme="0" tint="-4.9989318521683403E-2"/>
              </font>
              <fill>
                <patternFill>
                  <bgColor theme="0" tint="-4.9989318521683403E-2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expression" priority="3" id="{5143614C-30B8-4019-9926-E2C867F713B9}">
            <xm:f>$G$9=OtherVariables!$A$290</xm:f>
            <x14:dxf>
              <font>
                <color theme="0" tint="-4.9989318521683403E-2"/>
              </font>
              <fill>
                <patternFill>
                  <bgColor theme="0" tint="-4.9989318521683403E-2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D35:I38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OtherVariables!$P$24:$P$34</xm:f>
          </x14:formula1>
          <xm:sqref>G8:H8</xm:sqref>
        </x14:dataValidation>
        <x14:dataValidation type="list" allowBlank="1" showInputMessage="1" showErrorMessage="1">
          <x14:formula1>
            <xm:f>OtherVariables!$A$290:$A$292</xm:f>
          </x14:formula1>
          <xm:sqref>G9:H9</xm:sqref>
        </x14:dataValidation>
        <x14:dataValidation type="list" allowBlank="1" showInputMessage="1" showErrorMessage="1">
          <x14:formula1>
            <xm:f>OtherVariables!$A$294:$A$296</xm:f>
          </x14:formula1>
          <xm:sqref>G16:H16 G26:H26 G21:H21 G11:H11</xm:sqref>
        </x14:dataValidation>
        <x14:dataValidation type="list" allowBlank="1" showInputMessage="1" showErrorMessage="1">
          <x14:formula1>
            <xm:f>OtherVariables!$A$295:$A$296</xm:f>
          </x14:formula1>
          <xm:sqref>G35:H38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B108"/>
  <sheetViews>
    <sheetView showGridLines="0" zoomScale="85" zoomScaleNormal="85" workbookViewId="0">
      <selection activeCell="F8" sqref="F8"/>
    </sheetView>
  </sheetViews>
  <sheetFormatPr defaultRowHeight="15" x14ac:dyDescent="0.25"/>
  <cols>
    <col min="1" max="1" width="2.28515625" style="165" customWidth="1"/>
    <col min="2" max="2" width="1.7109375" style="165" customWidth="1"/>
    <col min="3" max="3" width="80.7109375" style="165" customWidth="1"/>
    <col min="4" max="4" width="18" style="165" customWidth="1"/>
    <col min="5" max="5" width="18.28515625" style="165" customWidth="1"/>
    <col min="6" max="6" width="26.28515625" style="165" customWidth="1"/>
    <col min="7" max="7" width="1.85546875" style="165" customWidth="1"/>
    <col min="8" max="8" width="2.28515625" style="165" customWidth="1"/>
    <col min="9" max="9" width="12.7109375" style="371" customWidth="1"/>
    <col min="10" max="10" width="13" style="371" customWidth="1"/>
    <col min="11" max="11" width="22.7109375" style="371" bestFit="1" customWidth="1"/>
    <col min="12" max="12" width="11.140625" style="371" customWidth="1"/>
    <col min="13" max="17" width="9.140625" style="371"/>
    <col min="18" max="18" width="25.5703125" style="371" customWidth="1"/>
    <col min="19" max="19" width="20.28515625" style="371" customWidth="1"/>
    <col min="20" max="21" width="9.140625" style="371"/>
    <col min="22" max="22" width="22.7109375" style="371" bestFit="1" customWidth="1"/>
    <col min="23" max="28" width="9.140625" style="371"/>
    <col min="29" max="16384" width="9.140625" style="165"/>
  </cols>
  <sheetData>
    <row r="1" spans="1:22" ht="12" customHeight="1" x14ac:dyDescent="0.25">
      <c r="A1" s="368"/>
      <c r="B1" s="368"/>
      <c r="C1" s="368"/>
      <c r="D1" s="368"/>
      <c r="E1" s="368"/>
      <c r="F1" s="368"/>
      <c r="G1" s="368"/>
      <c r="H1" s="368"/>
    </row>
    <row r="2" spans="1:22" ht="8.25" customHeight="1" x14ac:dyDescent="0.25">
      <c r="A2" s="368"/>
      <c r="B2" s="367"/>
      <c r="C2" s="888"/>
      <c r="D2" s="888"/>
      <c r="E2" s="888"/>
      <c r="F2" s="888"/>
      <c r="G2" s="367"/>
      <c r="H2" s="368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</row>
    <row r="3" spans="1:22" ht="29.25" customHeight="1" x14ac:dyDescent="0.25">
      <c r="A3" s="368"/>
      <c r="B3" s="171"/>
      <c r="C3" s="889" t="s">
        <v>370</v>
      </c>
      <c r="D3" s="889"/>
      <c r="E3" s="889"/>
      <c r="F3" s="889"/>
      <c r="G3" s="198"/>
      <c r="H3" s="368"/>
    </row>
    <row r="4" spans="1:22" ht="15" customHeight="1" x14ac:dyDescent="0.25">
      <c r="A4" s="368"/>
      <c r="B4" s="171"/>
      <c r="C4"/>
      <c r="D4"/>
      <c r="E4"/>
      <c r="F4"/>
      <c r="G4"/>
      <c r="H4" s="368"/>
    </row>
    <row r="5" spans="1:22" ht="15" customHeight="1" x14ac:dyDescent="0.25">
      <c r="A5" s="368"/>
      <c r="B5" s="171"/>
      <c r="C5" s="890" t="s">
        <v>321</v>
      </c>
      <c r="D5" s="890"/>
      <c r="E5" s="890"/>
      <c r="F5" s="890"/>
      <c r="G5" s="171"/>
      <c r="H5" s="368"/>
    </row>
    <row r="6" spans="1:22" ht="15" customHeight="1" x14ac:dyDescent="0.25">
      <c r="A6" s="368"/>
      <c r="B6" s="171"/>
      <c r="C6" s="355" t="s">
        <v>324</v>
      </c>
      <c r="D6" s="357"/>
      <c r="E6" s="359"/>
      <c r="F6" s="355" t="s">
        <v>326</v>
      </c>
      <c r="G6" s="34"/>
      <c r="H6" s="368"/>
    </row>
    <row r="7" spans="1:22" ht="15" customHeight="1" x14ac:dyDescent="0.25">
      <c r="A7" s="368"/>
      <c r="B7" s="171"/>
      <c r="C7" s="204" t="s">
        <v>331</v>
      </c>
      <c r="D7" s="318">
        <v>2015</v>
      </c>
      <c r="E7" s="318">
        <v>2025</v>
      </c>
      <c r="F7" s="318">
        <v>2020</v>
      </c>
      <c r="G7" s="34"/>
      <c r="H7" s="368"/>
    </row>
    <row r="8" spans="1:22" ht="15" customHeight="1" x14ac:dyDescent="0.25">
      <c r="A8" s="368"/>
      <c r="B8" s="171"/>
      <c r="C8" s="204" t="s">
        <v>618</v>
      </c>
      <c r="D8" s="27"/>
      <c r="E8" s="27"/>
      <c r="F8" s="28" t="s">
        <v>617</v>
      </c>
      <c r="G8" s="34"/>
      <c r="H8" s="368"/>
    </row>
    <row r="9" spans="1:22" ht="15" customHeight="1" x14ac:dyDescent="0.25">
      <c r="A9" s="368"/>
      <c r="B9" s="462"/>
      <c r="C9" s="204" t="s">
        <v>368</v>
      </c>
      <c r="D9" s="158"/>
      <c r="E9" s="158"/>
      <c r="F9" s="158" t="s">
        <v>21</v>
      </c>
      <c r="G9" s="34"/>
      <c r="H9" s="368"/>
      <c r="J9" s="566"/>
    </row>
    <row r="10" spans="1:22" ht="15" customHeight="1" x14ac:dyDescent="0.25">
      <c r="A10" s="368"/>
      <c r="B10" s="462"/>
      <c r="C10" s="204" t="s">
        <v>158</v>
      </c>
      <c r="D10" s="158"/>
      <c r="E10" s="158"/>
      <c r="F10" s="27">
        <v>10.9</v>
      </c>
      <c r="G10" s="34"/>
      <c r="H10" s="368"/>
      <c r="J10" s="566"/>
    </row>
    <row r="11" spans="1:22" x14ac:dyDescent="0.25">
      <c r="A11" s="368"/>
      <c r="B11" s="462"/>
      <c r="C11" s="188" t="s">
        <v>465</v>
      </c>
      <c r="D11" s="27"/>
      <c r="E11" s="27"/>
      <c r="F11" s="27">
        <v>100</v>
      </c>
      <c r="G11" s="34"/>
      <c r="H11" s="368"/>
      <c r="J11" s="566"/>
    </row>
    <row r="12" spans="1:22" x14ac:dyDescent="0.25">
      <c r="A12" s="368"/>
      <c r="B12" s="462"/>
      <c r="C12" s="561" t="s">
        <v>457</v>
      </c>
      <c r="D12" s="563"/>
      <c r="E12" s="564"/>
      <c r="F12" s="375"/>
      <c r="G12" s="34"/>
      <c r="H12" s="368"/>
      <c r="J12" s="566"/>
      <c r="K12" s="566"/>
    </row>
    <row r="13" spans="1:22" ht="15" customHeight="1" x14ac:dyDescent="0.25">
      <c r="A13" s="368"/>
      <c r="B13" s="171"/>
      <c r="C13" s="204" t="s">
        <v>460</v>
      </c>
      <c r="D13" s="158"/>
      <c r="E13" s="158"/>
      <c r="F13" s="27">
        <v>60</v>
      </c>
      <c r="G13" s="102"/>
      <c r="H13" s="368"/>
      <c r="J13" s="566"/>
      <c r="K13" s="566"/>
    </row>
    <row r="14" spans="1:22" ht="15" customHeight="1" x14ac:dyDescent="0.25">
      <c r="A14" s="368"/>
      <c r="B14" s="171"/>
      <c r="C14" s="459" t="s">
        <v>462</v>
      </c>
      <c r="D14" s="158"/>
      <c r="E14" s="158"/>
      <c r="F14" s="565">
        <v>2</v>
      </c>
      <c r="G14" s="102"/>
      <c r="H14" s="368"/>
      <c r="J14" s="566"/>
      <c r="K14" s="566"/>
    </row>
    <row r="15" spans="1:22" ht="15" customHeight="1" x14ac:dyDescent="0.25">
      <c r="A15" s="368"/>
      <c r="B15" s="462"/>
      <c r="C15" s="561" t="s">
        <v>458</v>
      </c>
      <c r="D15" s="563"/>
      <c r="E15" s="564"/>
      <c r="F15" s="375"/>
      <c r="G15" s="102"/>
      <c r="H15" s="368"/>
      <c r="K15" s="566"/>
    </row>
    <row r="16" spans="1:22" ht="15" customHeight="1" x14ac:dyDescent="0.25">
      <c r="A16" s="368"/>
      <c r="B16" s="462"/>
      <c r="C16" s="204" t="s">
        <v>461</v>
      </c>
      <c r="D16" s="158"/>
      <c r="E16" s="158"/>
      <c r="F16" s="158">
        <v>60</v>
      </c>
      <c r="G16" s="102"/>
      <c r="H16" s="368"/>
      <c r="I16" s="496"/>
      <c r="J16" s="495"/>
      <c r="K16" s="496"/>
      <c r="L16" s="495"/>
      <c r="N16" s="374"/>
      <c r="O16" s="374"/>
      <c r="P16" s="533"/>
      <c r="Q16" s="533"/>
    </row>
    <row r="17" spans="1:17" ht="15" customHeight="1" x14ac:dyDescent="0.25">
      <c r="A17" s="368"/>
      <c r="B17" s="462"/>
      <c r="C17" s="459" t="s">
        <v>463</v>
      </c>
      <c r="D17" s="158"/>
      <c r="E17" s="158"/>
      <c r="F17" s="565">
        <v>2</v>
      </c>
      <c r="G17" s="102"/>
      <c r="H17" s="368"/>
      <c r="I17" s="496"/>
      <c r="J17" s="495"/>
      <c r="K17" s="496"/>
      <c r="L17" s="495"/>
      <c r="N17" s="374"/>
      <c r="O17" s="374"/>
      <c r="P17" s="533"/>
      <c r="Q17" s="533"/>
    </row>
    <row r="18" spans="1:17" ht="15" customHeight="1" x14ac:dyDescent="0.25">
      <c r="A18" s="368"/>
      <c r="B18" s="462"/>
      <c r="C18" s="561" t="s">
        <v>459</v>
      </c>
      <c r="D18" s="563"/>
      <c r="E18" s="564"/>
      <c r="F18" s="375"/>
      <c r="G18" s="102"/>
      <c r="H18" s="368"/>
      <c r="I18" s="496"/>
      <c r="J18" s="495"/>
      <c r="K18" s="496"/>
      <c r="L18" s="495"/>
      <c r="N18" s="374"/>
      <c r="O18" s="374"/>
      <c r="P18" s="533"/>
      <c r="Q18" s="533"/>
    </row>
    <row r="19" spans="1:17" ht="15" customHeight="1" x14ac:dyDescent="0.25">
      <c r="A19" s="368"/>
      <c r="B19" s="462"/>
      <c r="C19" s="204" t="s">
        <v>156</v>
      </c>
      <c r="D19" s="158"/>
      <c r="E19" s="158"/>
      <c r="F19" s="158">
        <v>0</v>
      </c>
      <c r="G19" s="102"/>
      <c r="H19" s="368"/>
      <c r="I19" s="496"/>
      <c r="J19" s="567"/>
      <c r="K19" s="496"/>
      <c r="L19" s="495"/>
      <c r="N19" s="374"/>
      <c r="O19" s="374"/>
      <c r="P19" s="533"/>
      <c r="Q19" s="533"/>
    </row>
    <row r="20" spans="1:17" ht="15" customHeight="1" x14ac:dyDescent="0.25">
      <c r="A20" s="368"/>
      <c r="B20" s="462"/>
      <c r="C20" s="459" t="s">
        <v>464</v>
      </c>
      <c r="D20" s="158"/>
      <c r="E20" s="158"/>
      <c r="F20" s="565">
        <v>20</v>
      </c>
      <c r="G20" s="102"/>
      <c r="H20" s="368"/>
      <c r="I20" s="496"/>
      <c r="J20" s="495"/>
    </row>
    <row r="21" spans="1:17" x14ac:dyDescent="0.25">
      <c r="A21" s="368"/>
      <c r="B21" s="171"/>
      <c r="C21" s="172"/>
      <c r="D21" s="197"/>
      <c r="E21" s="197"/>
      <c r="F21" s="197"/>
      <c r="G21" s="34"/>
      <c r="H21" s="368"/>
      <c r="J21" s="500"/>
    </row>
    <row r="22" spans="1:17" ht="15.75" x14ac:dyDescent="0.25">
      <c r="A22" s="368"/>
      <c r="B22" s="171"/>
      <c r="C22" s="890" t="s">
        <v>320</v>
      </c>
      <c r="D22" s="890"/>
      <c r="E22" s="890"/>
      <c r="F22" s="890"/>
      <c r="G22" s="34"/>
      <c r="H22" s="368"/>
      <c r="J22" s="530"/>
    </row>
    <row r="23" spans="1:17" x14ac:dyDescent="0.25">
      <c r="A23" s="368"/>
      <c r="B23" s="171"/>
      <c r="C23" s="372" t="s">
        <v>1</v>
      </c>
      <c r="D23" s="1"/>
      <c r="E23" s="1"/>
      <c r="F23" s="1"/>
      <c r="G23" s="102"/>
      <c r="H23" s="368"/>
      <c r="J23" s="530"/>
    </row>
    <row r="24" spans="1:17" x14ac:dyDescent="0.25">
      <c r="A24" s="368"/>
      <c r="B24" s="171"/>
      <c r="C24" s="205" t="s">
        <v>48</v>
      </c>
      <c r="D24" s="103"/>
      <c r="E24" s="103"/>
      <c r="F24" s="103">
        <v>1.2</v>
      </c>
      <c r="G24" s="102"/>
      <c r="H24" s="368"/>
    </row>
    <row r="25" spans="1:17" x14ac:dyDescent="0.25">
      <c r="A25" s="368"/>
      <c r="B25" s="171"/>
      <c r="C25" s="205" t="s">
        <v>163</v>
      </c>
      <c r="D25" s="104"/>
      <c r="E25" s="104"/>
      <c r="F25" s="103">
        <v>34</v>
      </c>
      <c r="G25" s="112"/>
      <c r="H25" s="368"/>
    </row>
    <row r="26" spans="1:17" x14ac:dyDescent="0.25">
      <c r="A26" s="368"/>
      <c r="B26" s="171"/>
      <c r="C26" s="205" t="s">
        <v>180</v>
      </c>
      <c r="D26" s="104"/>
      <c r="E26" s="104"/>
      <c r="F26" s="103">
        <v>250</v>
      </c>
      <c r="G26" s="122"/>
      <c r="H26" s="368"/>
    </row>
    <row r="27" spans="1:17" x14ac:dyDescent="0.25">
      <c r="A27" s="368"/>
      <c r="B27" s="171"/>
      <c r="C27" s="204" t="s">
        <v>9</v>
      </c>
      <c r="D27" s="104"/>
      <c r="E27" s="104"/>
      <c r="F27" s="103">
        <v>16</v>
      </c>
      <c r="G27" s="102"/>
      <c r="H27" s="368"/>
    </row>
    <row r="28" spans="1:17" x14ac:dyDescent="0.25">
      <c r="A28" s="368"/>
      <c r="B28" s="171"/>
      <c r="C28" s="204" t="s">
        <v>264</v>
      </c>
      <c r="D28" s="138"/>
      <c r="E28" s="138"/>
      <c r="F28" s="138">
        <f>12.1/47.4</f>
        <v>0.25527426160337552</v>
      </c>
      <c r="G28" s="102"/>
      <c r="H28" s="368"/>
    </row>
    <row r="29" spans="1:17" x14ac:dyDescent="0.25">
      <c r="A29" s="368"/>
      <c r="B29" s="171"/>
      <c r="C29" s="204" t="s">
        <v>265</v>
      </c>
      <c r="D29" s="138"/>
      <c r="E29" s="138"/>
      <c r="F29" s="138">
        <f>10.1/47.4</f>
        <v>0.21308016877637131</v>
      </c>
      <c r="G29" s="102"/>
      <c r="H29" s="368"/>
      <c r="K29" s="496"/>
      <c r="L29" s="499"/>
      <c r="M29" s="496"/>
      <c r="N29" s="496"/>
      <c r="O29" s="496"/>
    </row>
    <row r="30" spans="1:17" x14ac:dyDescent="0.25">
      <c r="A30" s="368"/>
      <c r="B30" s="171"/>
      <c r="C30" s="204" t="s">
        <v>263</v>
      </c>
      <c r="D30" s="106"/>
      <c r="E30" s="106"/>
      <c r="F30" s="106">
        <v>-0.54</v>
      </c>
      <c r="G30" s="102"/>
      <c r="H30" s="368"/>
      <c r="I30" s="496"/>
      <c r="J30" s="496"/>
      <c r="K30" s="496"/>
      <c r="L30" s="499"/>
      <c r="M30" s="496"/>
      <c r="N30" s="496"/>
      <c r="O30" s="496"/>
    </row>
    <row r="31" spans="1:17" x14ac:dyDescent="0.25">
      <c r="A31" s="368"/>
      <c r="B31" s="171"/>
      <c r="C31" s="101" t="s">
        <v>250</v>
      </c>
      <c r="D31" s="330"/>
      <c r="E31" s="330"/>
      <c r="F31" s="330"/>
      <c r="G31" s="102"/>
      <c r="H31" s="368"/>
      <c r="I31" s="496"/>
      <c r="J31" s="496"/>
      <c r="K31" s="496"/>
      <c r="L31" s="499"/>
      <c r="M31" s="496"/>
      <c r="N31" s="496"/>
      <c r="O31" s="496"/>
    </row>
    <row r="32" spans="1:17" x14ac:dyDescent="0.25">
      <c r="A32" s="368"/>
      <c r="B32" s="171"/>
      <c r="C32" s="191" t="s">
        <v>245</v>
      </c>
      <c r="D32" s="123">
        <f>'2015ER'!I5</f>
        <v>384.35859582077808</v>
      </c>
      <c r="E32" s="123">
        <f>'2025ER'!I5</f>
        <v>290.30625699533425</v>
      </c>
      <c r="F32" s="106">
        <f>TREND(D32:E32,$D$7:$E$7,$F$7)</f>
        <v>337.33242640805474</v>
      </c>
      <c r="G32" s="102"/>
      <c r="H32" s="368"/>
      <c r="I32" s="534"/>
      <c r="J32" s="496"/>
      <c r="K32" s="496"/>
      <c r="L32" s="496"/>
      <c r="M32" s="496"/>
      <c r="N32" s="496"/>
      <c r="O32" s="496"/>
    </row>
    <row r="33" spans="1:15" x14ac:dyDescent="0.25">
      <c r="A33" s="368"/>
      <c r="B33" s="171"/>
      <c r="C33" s="191" t="s">
        <v>246</v>
      </c>
      <c r="D33" s="123">
        <f>'2015ER'!I22</f>
        <v>0.48807710252131187</v>
      </c>
      <c r="E33" s="123">
        <f>'2025ER'!I22</f>
        <v>0.11613536328169603</v>
      </c>
      <c r="F33" s="106">
        <f>TREND(D33:E33,$D$7:$E$7,$F$7)</f>
        <v>0.30210623290150806</v>
      </c>
      <c r="G33" s="102"/>
      <c r="H33" s="368"/>
      <c r="I33" s="535"/>
      <c r="J33" s="496"/>
      <c r="K33" s="496"/>
      <c r="L33" s="496"/>
      <c r="M33" s="496"/>
      <c r="N33" s="496"/>
      <c r="O33" s="496"/>
    </row>
    <row r="34" spans="1:15" x14ac:dyDescent="0.25">
      <c r="A34" s="368"/>
      <c r="B34" s="171"/>
      <c r="C34" s="191" t="s">
        <v>247</v>
      </c>
      <c r="D34" s="123">
        <f>'2015ER'!I39</f>
        <v>4.309459763167052E-3</v>
      </c>
      <c r="E34" s="123">
        <f>'2025ER'!I39</f>
        <v>3.1367318849430999E-3</v>
      </c>
      <c r="F34" s="106">
        <f>TREND(D34:E34,$D$7:$E$7,$F$7)</f>
        <v>3.7230958240550838E-3</v>
      </c>
      <c r="G34" s="102"/>
      <c r="H34" s="368"/>
      <c r="I34" s="535"/>
      <c r="J34" s="496"/>
      <c r="K34" s="496"/>
      <c r="L34" s="496"/>
      <c r="M34" s="496"/>
      <c r="N34" s="496"/>
      <c r="O34" s="496"/>
    </row>
    <row r="35" spans="1:15" x14ac:dyDescent="0.25">
      <c r="A35" s="368"/>
      <c r="B35" s="171"/>
      <c r="C35" s="191" t="s">
        <v>248</v>
      </c>
      <c r="D35" s="123">
        <f>'2015ER'!I56</f>
        <v>0.50704072211337847</v>
      </c>
      <c r="E35" s="123">
        <f>'2025ER'!I56</f>
        <v>0.12081631645733369</v>
      </c>
      <c r="F35" s="106">
        <f>TREND(D35:E35,$D$7:$E$7,$F$7)</f>
        <v>0.31392851928535492</v>
      </c>
      <c r="G35" s="102"/>
      <c r="H35" s="368"/>
      <c r="I35" s="535"/>
      <c r="J35" s="496"/>
      <c r="K35" s="496"/>
      <c r="L35" s="496"/>
      <c r="M35" s="496"/>
      <c r="N35" s="496"/>
      <c r="O35" s="496"/>
    </row>
    <row r="36" spans="1:15" x14ac:dyDescent="0.25">
      <c r="A36" s="368"/>
      <c r="B36" s="171"/>
      <c r="C36" s="191" t="s">
        <v>249</v>
      </c>
      <c r="D36" s="123">
        <f>'2015ER'!I73</f>
        <v>0.17607364566569073</v>
      </c>
      <c r="E36" s="123">
        <f>'2025ER'!I73</f>
        <v>5.8881363050891991E-2</v>
      </c>
      <c r="F36" s="106">
        <f>TREND(D36:E36,$D$7:$E$7,$F$7)</f>
        <v>0.11747750435829118</v>
      </c>
      <c r="G36" s="102"/>
      <c r="H36" s="368"/>
      <c r="I36" s="496"/>
      <c r="J36" s="496"/>
    </row>
    <row r="37" spans="1:15" x14ac:dyDescent="0.25">
      <c r="A37" s="368"/>
      <c r="B37" s="724"/>
      <c r="C37" s="191" t="s">
        <v>602</v>
      </c>
      <c r="D37" s="123">
        <f>'2015ER'!I90</f>
        <v>7.5744678560726551E-3</v>
      </c>
      <c r="E37" s="123">
        <f>'2025ER'!I90</f>
        <v>1.9717038466033725E-3</v>
      </c>
      <c r="F37" s="106">
        <f t="shared" ref="F37" si="0">TREND(D37:E37,$D$7:$E$7,$F$7)</f>
        <v>4.7730858513379548E-3</v>
      </c>
      <c r="G37" s="102"/>
      <c r="H37" s="368"/>
    </row>
    <row r="38" spans="1:15" x14ac:dyDescent="0.25">
      <c r="A38" s="368"/>
      <c r="B38" s="724"/>
      <c r="C38" s="191" t="s">
        <v>603</v>
      </c>
      <c r="D38" s="123">
        <f>'2015ER'!I107</f>
        <v>3.4175996409530245</v>
      </c>
      <c r="E38" s="123">
        <f>'2025ER'!I107</f>
        <v>1.9793621561003352</v>
      </c>
      <c r="F38" s="106">
        <f>TREND(D38:E38,$D$7:$E$7,$F$7)</f>
        <v>2.6984808985266682</v>
      </c>
      <c r="G38" s="102"/>
      <c r="H38" s="368"/>
    </row>
    <row r="39" spans="1:15" x14ac:dyDescent="0.25">
      <c r="A39" s="368"/>
      <c r="B39" s="171"/>
      <c r="C39" s="101" t="s">
        <v>251</v>
      </c>
      <c r="D39" s="63"/>
      <c r="E39" s="63"/>
      <c r="F39" s="63"/>
      <c r="G39" s="102"/>
      <c r="H39" s="368"/>
    </row>
    <row r="40" spans="1:15" x14ac:dyDescent="0.25">
      <c r="A40" s="368"/>
      <c r="B40" s="171"/>
      <c r="C40" s="191" t="s">
        <v>245</v>
      </c>
      <c r="D40" s="137">
        <f>IF($F$8=OtherVariables!$A$245, '2015ER'!$S$5,IF($F$8=OtherVariables!$A$246, '2015ER'!$N$5, "Error"))</f>
        <v>454.05152953528778</v>
      </c>
      <c r="E40" s="137">
        <f>IF($F$8=OtherVariables!$A$245, '2025ER'!$S$5,IF($F$8=OtherVariables!$A$246, '2025ER'!$N$5, "Error"))</f>
        <v>339.03493055368705</v>
      </c>
      <c r="F40" s="106">
        <f>TREND(D40:E40,$D$7:$E$7,$F$7)</f>
        <v>396.54323004448815</v>
      </c>
      <c r="G40" s="102"/>
      <c r="H40" s="368"/>
    </row>
    <row r="41" spans="1:15" x14ac:dyDescent="0.25">
      <c r="A41" s="368"/>
      <c r="B41" s="171"/>
      <c r="C41" s="191" t="s">
        <v>246</v>
      </c>
      <c r="D41" s="137">
        <f>IF($F$8=OtherVariables!$A$245, '2015ER'!$S$22,IF($F$8=OtherVariables!$A$246, '2015ER'!$N$22, "Error"))</f>
        <v>0.67985005321578229</v>
      </c>
      <c r="E41" s="137">
        <f>IF($F$8=OtherVariables!$A$245, '2025ER'!$S$22,IF($F$8=OtherVariables!$A$246, '2025ER'!$N$22, "Error"))</f>
        <v>0.14941526928904608</v>
      </c>
      <c r="F41" s="106">
        <f>TREND(D41:E41,$D$7:$E$7,$F$7)</f>
        <v>0.41463266125241205</v>
      </c>
      <c r="G41" s="102"/>
      <c r="H41" s="368"/>
    </row>
    <row r="42" spans="1:15" x14ac:dyDescent="0.25">
      <c r="A42" s="368"/>
      <c r="B42" s="171"/>
      <c r="C42" s="191" t="s">
        <v>247</v>
      </c>
      <c r="D42" s="137">
        <f>IF($F$8=OtherVariables!$A$245, '2015ER'!$S$39,IF($F$8=OtherVariables!$A$246, '2015ER'!$N$39, "Error"))</f>
        <v>5.0362830300759364E-3</v>
      </c>
      <c r="E42" s="137">
        <f>IF($F$8=OtherVariables!$A$245, '2025ER'!$S$39,IF($F$8=OtherVariables!$A$246, '2025ER'!$N$39, "Error"))</f>
        <v>3.7400019499156025E-3</v>
      </c>
      <c r="F42" s="106">
        <f>TREND(D42:E42,$D$7:$E$7,$F$7)</f>
        <v>4.38814248999575E-3</v>
      </c>
      <c r="G42" s="102"/>
      <c r="H42" s="368"/>
    </row>
    <row r="43" spans="1:15" x14ac:dyDescent="0.25">
      <c r="A43" s="368"/>
      <c r="B43" s="171"/>
      <c r="C43" s="191" t="s">
        <v>248</v>
      </c>
      <c r="D43" s="137">
        <f>IF($F$8=OtherVariables!$A$245, '2015ER'!$S$56,IF($F$8=OtherVariables!$A$246, '2015ER'!$N$56, "Error"))</f>
        <v>0.69402941257059469</v>
      </c>
      <c r="E43" s="137">
        <f>IF($F$8=OtherVariables!$A$245, '2025ER'!$S$56,IF($F$8=OtherVariables!$A$246, '2025ER'!$N$56, "Error"))</f>
        <v>0.15365682408510686</v>
      </c>
      <c r="F43" s="106">
        <f>TREND(D43:E43,$D$7:$E$7,$F$7)</f>
        <v>0.42384311832785215</v>
      </c>
      <c r="G43" s="102"/>
      <c r="H43" s="368"/>
    </row>
    <row r="44" spans="1:15" x14ac:dyDescent="0.25">
      <c r="A44" s="368"/>
      <c r="B44" s="171"/>
      <c r="C44" s="191" t="s">
        <v>249</v>
      </c>
      <c r="D44" s="137">
        <f>IF($F$8=OtherVariables!$A$245, '2015ER'!$S$73,IF($F$8=OtherVariables!$A$246, '2015ER'!$N$73, "Error"))</f>
        <v>0.23014103518835721</v>
      </c>
      <c r="E44" s="137">
        <f>IF($F$8=OtherVariables!$A$245, '2025ER'!$S$73,IF($F$8=OtherVariables!$A$246, '2025ER'!$N$73, "Error"))</f>
        <v>6.1392032891029527E-2</v>
      </c>
      <c r="F44" s="106">
        <f>TREND(D44:E44,$D$7:$E$7,$F$7)</f>
        <v>0.14576653403969431</v>
      </c>
      <c r="G44" s="102"/>
      <c r="H44" s="368"/>
    </row>
    <row r="45" spans="1:15" x14ac:dyDescent="0.25">
      <c r="A45" s="368"/>
      <c r="B45" s="724"/>
      <c r="C45" s="191" t="s">
        <v>602</v>
      </c>
      <c r="D45" s="137">
        <f>IF($F$8=OtherVariables!$A$245, '2015ER'!$S$90,IF($F$8=OtherVariables!$A$246, '2015ER'!$N$90, "Error"))</f>
        <v>8.9309311722981718E-3</v>
      </c>
      <c r="E45" s="137">
        <f>IF($F$8=OtherVariables!$A$245, '2025ER'!$S$90,IF($F$8=OtherVariables!$A$246, '2025ER'!$N$90, "Error"))</f>
        <v>2.3212277569883604E-3</v>
      </c>
      <c r="F45" s="106">
        <f t="shared" ref="F45:F46" si="1">TREND(D45:E45,$D$7:$E$7,$F$7)</f>
        <v>5.6260794646432188E-3</v>
      </c>
      <c r="G45" s="102"/>
      <c r="H45" s="368"/>
    </row>
    <row r="46" spans="1:15" x14ac:dyDescent="0.25">
      <c r="A46" s="368"/>
      <c r="B46" s="724"/>
      <c r="C46" s="191" t="s">
        <v>603</v>
      </c>
      <c r="D46" s="137">
        <f>IF($F$8=OtherVariables!$A$245, '2015ER'!$S$107,IF($F$8=OtherVariables!$A$246, '2015ER'!$N$107, "Error"))</f>
        <v>4.3942294047134425</v>
      </c>
      <c r="E46" s="137">
        <f>IF($F$8=OtherVariables!$A$245, '2025ER'!$S$107,IF($F$8=OtherVariables!$A$246, '2025ER'!$N$107, "Error"))</f>
        <v>2.3473601951617966</v>
      </c>
      <c r="F46" s="106">
        <f t="shared" si="1"/>
        <v>3.3707947999376415</v>
      </c>
      <c r="G46" s="102"/>
      <c r="H46" s="368"/>
    </row>
    <row r="47" spans="1:15" x14ac:dyDescent="0.25">
      <c r="A47" s="368"/>
      <c r="B47" s="171"/>
      <c r="C47"/>
      <c r="D47"/>
      <c r="E47"/>
      <c r="F47"/>
      <c r="G47" s="102"/>
      <c r="H47" s="368"/>
    </row>
    <row r="48" spans="1:15" ht="15.75" x14ac:dyDescent="0.25">
      <c r="A48" s="368"/>
      <c r="B48" s="171"/>
      <c r="C48" s="890" t="s">
        <v>317</v>
      </c>
      <c r="D48" s="890"/>
      <c r="E48" s="890"/>
      <c r="F48" s="890"/>
      <c r="G48" s="102"/>
      <c r="H48" s="368"/>
    </row>
    <row r="49" spans="1:8" ht="15.75" x14ac:dyDescent="0.25">
      <c r="A49" s="368"/>
      <c r="B49" s="171"/>
      <c r="C49" s="358" t="s">
        <v>324</v>
      </c>
      <c r="D49" s="357"/>
      <c r="E49" s="359"/>
      <c r="F49" s="358" t="s">
        <v>323</v>
      </c>
      <c r="G49" s="102"/>
      <c r="H49" s="368"/>
    </row>
    <row r="50" spans="1:8" x14ac:dyDescent="0.25">
      <c r="A50" s="368"/>
      <c r="B50" s="171"/>
      <c r="C50" s="373" t="s">
        <v>164</v>
      </c>
      <c r="D50" s="105"/>
      <c r="E50" s="105"/>
      <c r="F50" s="105">
        <f>F11*F26</f>
        <v>25000</v>
      </c>
      <c r="G50"/>
      <c r="H50" s="368"/>
    </row>
    <row r="51" spans="1:8" x14ac:dyDescent="0.25">
      <c r="A51" s="368"/>
      <c r="B51" s="171"/>
      <c r="C51" s="373" t="s">
        <v>409</v>
      </c>
      <c r="D51" s="447"/>
      <c r="E51" s="447"/>
      <c r="F51" s="447">
        <f>IF(F9="Y",((F$29-F$28)*F$30)*F50,"NA")</f>
        <v>569.62025316455674</v>
      </c>
      <c r="G51" s="171"/>
      <c r="H51" s="368"/>
    </row>
    <row r="52" spans="1:8" x14ac:dyDescent="0.25">
      <c r="A52" s="368"/>
      <c r="B52" s="171"/>
      <c r="C52" s="373" t="s">
        <v>188</v>
      </c>
      <c r="D52" s="144"/>
      <c r="E52" s="144"/>
      <c r="F52" s="144">
        <f>IF(F51="NA",(F50/$F$24),((F51+F50)/$F$24))</f>
        <v>21308.016877637132</v>
      </c>
      <c r="G52" s="102"/>
      <c r="H52" s="368"/>
    </row>
    <row r="53" spans="1:8" x14ac:dyDescent="0.25">
      <c r="A53" s="368"/>
      <c r="B53" s="171"/>
      <c r="C53" s="1"/>
      <c r="D53" s="107"/>
      <c r="E53" s="107"/>
      <c r="F53" s="107"/>
      <c r="G53" s="102"/>
      <c r="H53" s="368"/>
    </row>
    <row r="54" spans="1:8" ht="15.75" x14ac:dyDescent="0.25">
      <c r="A54" s="368"/>
      <c r="B54" s="171"/>
      <c r="C54" s="887" t="s">
        <v>318</v>
      </c>
      <c r="D54" s="887"/>
      <c r="E54" s="887"/>
      <c r="F54" s="887"/>
      <c r="G54" s="102"/>
      <c r="H54" s="368"/>
    </row>
    <row r="55" spans="1:8" ht="15.75" thickBot="1" x14ac:dyDescent="0.3">
      <c r="A55" s="368"/>
      <c r="B55" s="171"/>
      <c r="C55" s="369" t="s">
        <v>319</v>
      </c>
      <c r="D55" s="369"/>
      <c r="E55" s="369"/>
      <c r="F55" s="369"/>
      <c r="G55" s="102"/>
      <c r="H55" s="368"/>
    </row>
    <row r="56" spans="1:8" x14ac:dyDescent="0.25">
      <c r="A56" s="368"/>
      <c r="B56" s="180"/>
      <c r="C56" s="364" t="s">
        <v>116</v>
      </c>
      <c r="D56" s="679"/>
      <c r="E56" s="677"/>
      <c r="F56" s="479" t="s">
        <v>187</v>
      </c>
      <c r="G56" s="102"/>
      <c r="H56" s="368"/>
    </row>
    <row r="57" spans="1:8" x14ac:dyDescent="0.25">
      <c r="A57" s="368"/>
      <c r="B57" s="180"/>
      <c r="C57" s="365" t="s">
        <v>410</v>
      </c>
      <c r="D57" s="680"/>
      <c r="E57" s="480"/>
      <c r="F57" s="480">
        <f>IF(F9="Y",(F51/$F$24)*$F$27,"N/A")</f>
        <v>7594.9367088607569</v>
      </c>
      <c r="G57" s="102"/>
      <c r="H57" s="368"/>
    </row>
    <row r="58" spans="1:8" ht="15.75" thickBot="1" x14ac:dyDescent="0.3">
      <c r="A58" s="368"/>
      <c r="B58" s="180"/>
      <c r="C58" s="366" t="s">
        <v>411</v>
      </c>
      <c r="D58" s="681"/>
      <c r="E58" s="678"/>
      <c r="F58" s="481">
        <f>IF(F9="Y",((F51+F50)/$F$24)*$F$27,(F50/$F$24)*$F$27)</f>
        <v>340928.27004219411</v>
      </c>
      <c r="G58" s="102"/>
      <c r="H58" s="368"/>
    </row>
    <row r="59" spans="1:8" x14ac:dyDescent="0.25">
      <c r="A59" s="368"/>
      <c r="B59" s="171"/>
      <c r="C59"/>
      <c r="D59"/>
      <c r="E59"/>
      <c r="F59"/>
      <c r="G59" s="102"/>
      <c r="H59" s="368"/>
    </row>
    <row r="60" spans="1:8" ht="15.75" thickBot="1" x14ac:dyDescent="0.3">
      <c r="A60" s="368"/>
      <c r="B60" s="171"/>
      <c r="C60" s="369" t="s">
        <v>412</v>
      </c>
      <c r="D60"/>
      <c r="E60"/>
      <c r="F60"/>
      <c r="G60" s="102"/>
      <c r="H60" s="368"/>
    </row>
    <row r="61" spans="1:8" x14ac:dyDescent="0.25">
      <c r="A61" s="368"/>
      <c r="B61" s="180"/>
      <c r="C61" s="390" t="s">
        <v>627</v>
      </c>
      <c r="D61" s="685"/>
      <c r="E61" s="682"/>
      <c r="F61" s="477">
        <f>IF(F9="Y",F$57*F32,"N/A")</f>
        <v>2562018.4284156049</v>
      </c>
      <c r="G61" s="102"/>
      <c r="H61" s="368"/>
    </row>
    <row r="62" spans="1:8" x14ac:dyDescent="0.25">
      <c r="A62" s="368"/>
      <c r="B62" s="180"/>
      <c r="C62" s="179" t="s">
        <v>400</v>
      </c>
      <c r="D62" s="686"/>
      <c r="E62" s="683"/>
      <c r="F62" s="478">
        <f>IF(F9="Y",F$57*F33,"N/A")</f>
        <v>2294.4777182393009</v>
      </c>
      <c r="G62" s="102"/>
      <c r="H62" s="368"/>
    </row>
    <row r="63" spans="1:8" x14ac:dyDescent="0.25">
      <c r="A63" s="368"/>
      <c r="B63" s="180"/>
      <c r="C63" s="391" t="s">
        <v>401</v>
      </c>
      <c r="D63" s="686"/>
      <c r="E63" s="683"/>
      <c r="F63" s="478">
        <f>IF(F9="Y",F$57*F34,"N/A")</f>
        <v>28.276677144722147</v>
      </c>
      <c r="G63"/>
      <c r="H63" s="368"/>
    </row>
    <row r="64" spans="1:8" x14ac:dyDescent="0.25">
      <c r="A64" s="368"/>
      <c r="B64" s="180"/>
      <c r="C64" s="391" t="s">
        <v>402</v>
      </c>
      <c r="D64" s="686"/>
      <c r="E64" s="683"/>
      <c r="F64" s="478">
        <f>IF(F9="Y",F$57*F35,"N/A")</f>
        <v>2384.2672350786443</v>
      </c>
      <c r="G64"/>
      <c r="H64" s="368"/>
    </row>
    <row r="65" spans="1:8" x14ac:dyDescent="0.25">
      <c r="A65" s="368"/>
      <c r="B65" s="180"/>
      <c r="C65" s="179" t="s">
        <v>403</v>
      </c>
      <c r="D65" s="686"/>
      <c r="E65" s="683"/>
      <c r="F65" s="731">
        <f>IF(F9="Y",F$57*F36,"N/A")</f>
        <v>892.23421031613532</v>
      </c>
      <c r="G65"/>
      <c r="H65" s="368"/>
    </row>
    <row r="66" spans="1:8" x14ac:dyDescent="0.25">
      <c r="A66" s="368"/>
      <c r="B66" s="180"/>
      <c r="C66" s="365" t="s">
        <v>598</v>
      </c>
      <c r="D66" s="686"/>
      <c r="E66" s="683"/>
      <c r="F66" s="683">
        <f>IF(F9="Y",F$57*F37,"N/A")</f>
        <v>36.251284946870527</v>
      </c>
      <c r="G66" s="724"/>
      <c r="H66" s="368"/>
    </row>
    <row r="67" spans="1:8" ht="15.75" thickBot="1" x14ac:dyDescent="0.3">
      <c r="A67" s="368"/>
      <c r="B67" s="180"/>
      <c r="C67" s="254" t="s">
        <v>599</v>
      </c>
      <c r="D67" s="687"/>
      <c r="E67" s="684"/>
      <c r="F67" s="684">
        <f>IF(F9="Y",F$57*F38,"N/A")</f>
        <v>20494.791634379751</v>
      </c>
      <c r="G67" s="724"/>
      <c r="H67" s="368"/>
    </row>
    <row r="68" spans="1:8" x14ac:dyDescent="0.25">
      <c r="A68" s="368"/>
      <c r="B68" s="180"/>
      <c r="C68" s="178" t="s">
        <v>442</v>
      </c>
      <c r="D68" s="671"/>
      <c r="E68" s="482"/>
      <c r="F68" s="482">
        <f>IF(F9="Y",(F61*0.00000110231)/$F$26,"N/A")</f>
        <v>1.1296554135307222E-2</v>
      </c>
      <c r="G68" s="171"/>
      <c r="H68" s="368"/>
    </row>
    <row r="69" spans="1:8" x14ac:dyDescent="0.25">
      <c r="A69" s="368"/>
      <c r="B69" s="180"/>
      <c r="C69" s="179" t="s">
        <v>443</v>
      </c>
      <c r="D69" s="672"/>
      <c r="E69" s="483"/>
      <c r="F69" s="483">
        <f>IF(F9="Y",(F62*0.00000110231)/$F$26,"N/A")</f>
        <v>1.0116902934369456E-5</v>
      </c>
      <c r="G69" s="171"/>
      <c r="H69" s="368"/>
    </row>
    <row r="70" spans="1:8" x14ac:dyDescent="0.25">
      <c r="A70" s="368"/>
      <c r="B70" s="180"/>
      <c r="C70" s="179" t="s">
        <v>444</v>
      </c>
      <c r="D70" s="672"/>
      <c r="E70" s="483"/>
      <c r="F70" s="483">
        <f>IF(F9="Y",(F63*0.00000110231)/$F$26,"N/A")</f>
        <v>1.2467865593359468E-7</v>
      </c>
      <c r="G70" s="171"/>
      <c r="H70" s="368"/>
    </row>
    <row r="71" spans="1:8" x14ac:dyDescent="0.25">
      <c r="A71" s="368"/>
      <c r="B71" s="180"/>
      <c r="C71" s="179" t="s">
        <v>445</v>
      </c>
      <c r="D71" s="672"/>
      <c r="E71" s="483"/>
      <c r="F71" s="483">
        <f>IF(F9="Y",(F64*0.00000110231)/$F$26,"N/A")</f>
        <v>1.0512806463598163E-5</v>
      </c>
      <c r="G71" s="171"/>
      <c r="H71" s="368"/>
    </row>
    <row r="72" spans="1:8" x14ac:dyDescent="0.25">
      <c r="A72" s="368"/>
      <c r="B72" s="180"/>
      <c r="C72" s="391" t="s">
        <v>446</v>
      </c>
      <c r="D72" s="672"/>
      <c r="E72" s="483"/>
      <c r="F72" s="483">
        <f>IF($F$9="Y",(F65*0.00000110231)/$F$26,"N/A")</f>
        <v>3.9340747694943162E-6</v>
      </c>
      <c r="G72" s="171"/>
      <c r="H72" s="368"/>
    </row>
    <row r="73" spans="1:8" x14ac:dyDescent="0.25">
      <c r="A73" s="368"/>
      <c r="B73" s="180"/>
      <c r="C73" s="391" t="s">
        <v>600</v>
      </c>
      <c r="D73" s="728"/>
      <c r="E73" s="483"/>
      <c r="F73" s="483">
        <f>IF($F$9="Y",(F66*0.00000110231)/$F$26,"N/A")</f>
        <v>1.5984061563913942E-7</v>
      </c>
      <c r="G73" s="724"/>
      <c r="H73" s="368"/>
    </row>
    <row r="74" spans="1:8" ht="15.75" thickBot="1" x14ac:dyDescent="0.3">
      <c r="A74" s="368"/>
      <c r="B74" s="180"/>
      <c r="C74" s="707" t="s">
        <v>601</v>
      </c>
      <c r="D74" s="730"/>
      <c r="E74" s="484"/>
      <c r="F74" s="483">
        <f>IF($F$9="Y",(F67*0.00000110231)/$F$26,"N/A")</f>
        <v>9.0366455065972584E-5</v>
      </c>
      <c r="G74" s="724"/>
      <c r="H74" s="368"/>
    </row>
    <row r="75" spans="1:8" x14ac:dyDescent="0.25">
      <c r="A75" s="368"/>
      <c r="B75" s="2"/>
      <c r="C75" s="267"/>
      <c r="D75" s="47"/>
      <c r="E75" s="47"/>
      <c r="F75" s="732"/>
      <c r="G75" s="171"/>
      <c r="H75" s="368"/>
    </row>
    <row r="76" spans="1:8" ht="15.75" thickBot="1" x14ac:dyDescent="0.3">
      <c r="A76" s="368"/>
      <c r="B76" s="171"/>
      <c r="C76" s="369" t="s">
        <v>369</v>
      </c>
      <c r="D76" s="47"/>
      <c r="E76" s="47"/>
      <c r="F76" s="47"/>
      <c r="G76"/>
      <c r="H76" s="368"/>
    </row>
    <row r="77" spans="1:8" x14ac:dyDescent="0.25">
      <c r="A77" s="368"/>
      <c r="B77" s="180"/>
      <c r="C77" s="364" t="s">
        <v>404</v>
      </c>
      <c r="D77" s="675"/>
      <c r="E77" s="673"/>
      <c r="F77" s="439">
        <f>(IF($F$13=0,0,((60/$F$13)*$F$14))+IF($F$16=0,0,((60/$F$16)*$F$17))+IF($F$19=0,0,((60/$F$19)*$F$20)))*F$10*2*F40</f>
        <v>34578.569659879366</v>
      </c>
      <c r="G77"/>
      <c r="H77" s="368"/>
    </row>
    <row r="78" spans="1:8" x14ac:dyDescent="0.25">
      <c r="A78" s="368"/>
      <c r="B78" s="180"/>
      <c r="C78" s="365" t="s">
        <v>405</v>
      </c>
      <c r="D78" s="676"/>
      <c r="E78" s="674"/>
      <c r="F78" s="440">
        <f>(IF($F$13=0,0,((60/$F$13)*$F$14))+IF($F$16=0,0,((60/$F$16)*$F$17))+IF($F$19=0,0,((60/$F$19)*$F$20)))*F$10*2*F41</f>
        <v>36.155968061210331</v>
      </c>
      <c r="G78"/>
      <c r="H78" s="368"/>
    </row>
    <row r="79" spans="1:8" x14ac:dyDescent="0.25">
      <c r="A79" s="368"/>
      <c r="B79" s="180"/>
      <c r="C79" s="365" t="s">
        <v>406</v>
      </c>
      <c r="D79" s="676"/>
      <c r="E79" s="674"/>
      <c r="F79" s="440">
        <f>(IF($F$13=0,0,((60/$F$13)*$F$14))+IF($F$16=0,0,((60/$F$16)*$F$17))+IF($F$19=0,0,((60/$F$19)*$F$20)))*F$10*2*F42</f>
        <v>0.38264602512762941</v>
      </c>
      <c r="G79"/>
      <c r="H79" s="368"/>
    </row>
    <row r="80" spans="1:8" x14ac:dyDescent="0.25">
      <c r="A80" s="368"/>
      <c r="B80" s="180"/>
      <c r="C80" s="365" t="s">
        <v>407</v>
      </c>
      <c r="D80" s="676"/>
      <c r="E80" s="674"/>
      <c r="F80" s="440">
        <f>(IF($F$13=0,0,((60/$F$13)*$F$14))+IF($F$16=0,0,((60/$F$16)*$F$17))+IF($F$19=0,0,((60/$F$19)*$F$20)))*F$10*2*F43</f>
        <v>36.959119918188712</v>
      </c>
      <c r="G80"/>
      <c r="H80" s="368"/>
    </row>
    <row r="81" spans="1:8" x14ac:dyDescent="0.25">
      <c r="A81" s="368"/>
      <c r="B81" s="180"/>
      <c r="C81" s="365" t="s">
        <v>408</v>
      </c>
      <c r="D81" s="676"/>
      <c r="E81" s="674"/>
      <c r="F81" s="440">
        <f>(IF($F$13=0,0,((60/$F$13)*$F$14))+IF($F$16=0,0,((60/$F$16)*$F$17))+IF($F$19=0,0,((60/$F$19)*$F$20)))*F$10*2*F44</f>
        <v>12.710841768261345</v>
      </c>
      <c r="G81" s="157"/>
      <c r="H81" s="368"/>
    </row>
    <row r="82" spans="1:8" x14ac:dyDescent="0.25">
      <c r="A82" s="368"/>
      <c r="B82" s="180"/>
      <c r="C82" s="365" t="s">
        <v>604</v>
      </c>
      <c r="D82" s="729"/>
      <c r="E82" s="674"/>
      <c r="F82" s="440">
        <f t="shared" ref="F82:F83" si="2">(IF($F$13=0,0,((60/$F$13)*$F$14))+IF($F$16=0,0,((60/$F$16)*$F$17))+IF($F$19=0,0,((60/$F$19)*$F$20)))*F$10*2*F45</f>
        <v>0.49059412931688867</v>
      </c>
      <c r="G82" s="172"/>
      <c r="H82" s="368"/>
    </row>
    <row r="83" spans="1:8" ht="15.75" thickBot="1" x14ac:dyDescent="0.3">
      <c r="A83" s="368"/>
      <c r="B83" s="180"/>
      <c r="C83" s="254" t="s">
        <v>605</v>
      </c>
      <c r="D83" s="729"/>
      <c r="E83" s="688"/>
      <c r="F83" s="440">
        <f t="shared" si="2"/>
        <v>293.93330655456236</v>
      </c>
      <c r="G83" s="172"/>
      <c r="H83" s="368"/>
    </row>
    <row r="84" spans="1:8" ht="15.75" thickBot="1" x14ac:dyDescent="0.3">
      <c r="A84" s="368"/>
      <c r="B84" s="724"/>
      <c r="C84" s="778" t="s">
        <v>329</v>
      </c>
      <c r="D84" s="706"/>
      <c r="E84" s="724"/>
      <c r="F84" s="825"/>
      <c r="G84" s="172"/>
      <c r="H84" s="368"/>
    </row>
    <row r="85" spans="1:8" x14ac:dyDescent="0.25">
      <c r="A85" s="368"/>
      <c r="B85" s="2"/>
      <c r="C85" s="874" t="s">
        <v>731</v>
      </c>
      <c r="D85" s="833"/>
      <c r="E85" s="833"/>
      <c r="F85" s="834">
        <f>((F$58*F32)-F77)/1000</f>
        <v>114971.58199477398</v>
      </c>
      <c r="G85" s="172"/>
      <c r="H85" s="368"/>
    </row>
    <row r="86" spans="1:8" x14ac:dyDescent="0.25">
      <c r="A86" s="368"/>
      <c r="B86" s="2"/>
      <c r="C86" s="876" t="s">
        <v>702</v>
      </c>
      <c r="D86" s="835"/>
      <c r="E86" s="835"/>
      <c r="F86" s="836">
        <f t="shared" ref="F86:F91" si="3">((F$58*F33)-F78)/1000</f>
        <v>102.96039938401412</v>
      </c>
      <c r="G86" s="172"/>
      <c r="H86" s="368"/>
    </row>
    <row r="87" spans="1:8" x14ac:dyDescent="0.25">
      <c r="A87" s="368"/>
      <c r="B87" s="2"/>
      <c r="C87" s="876" t="s">
        <v>703</v>
      </c>
      <c r="D87" s="835"/>
      <c r="E87" s="835"/>
      <c r="F87" s="836">
        <f t="shared" si="3"/>
        <v>1.2689259724712891</v>
      </c>
      <c r="G87" s="724"/>
      <c r="H87" s="368"/>
    </row>
    <row r="88" spans="1:8" x14ac:dyDescent="0.25">
      <c r="A88" s="368"/>
      <c r="B88" s="2"/>
      <c r="C88" s="875" t="s">
        <v>704</v>
      </c>
      <c r="D88" s="837"/>
      <c r="E88" s="837"/>
      <c r="F88" s="838">
        <f t="shared" si="3"/>
        <v>106.99014787694544</v>
      </c>
      <c r="G88" s="724"/>
      <c r="H88" s="368"/>
    </row>
    <row r="89" spans="1:8" x14ac:dyDescent="0.25">
      <c r="A89" s="368"/>
      <c r="B89" s="2"/>
      <c r="C89" s="875" t="s">
        <v>705</v>
      </c>
      <c r="D89" s="837"/>
      <c r="E89" s="837"/>
      <c r="F89" s="838">
        <f t="shared" si="3"/>
        <v>40.038691487978269</v>
      </c>
      <c r="G89" s="724"/>
      <c r="H89" s="368"/>
    </row>
    <row r="90" spans="1:8" x14ac:dyDescent="0.25">
      <c r="A90" s="368"/>
      <c r="B90" s="2"/>
      <c r="C90" s="869" t="s">
        <v>706</v>
      </c>
      <c r="D90" s="837"/>
      <c r="E90" s="837"/>
      <c r="F90" s="838">
        <f t="shared" si="3"/>
        <v>1.6267893079302056</v>
      </c>
      <c r="G90" s="724"/>
      <c r="H90" s="368"/>
    </row>
    <row r="91" spans="1:8" ht="15.75" thickBot="1" x14ac:dyDescent="0.3">
      <c r="A91" s="368"/>
      <c r="B91" s="2"/>
      <c r="C91" s="870" t="s">
        <v>707</v>
      </c>
      <c r="D91" s="839"/>
      <c r="E91" s="839"/>
      <c r="F91" s="840">
        <f t="shared" si="3"/>
        <v>919.69449117004797</v>
      </c>
      <c r="G91" s="724"/>
      <c r="H91" s="368"/>
    </row>
    <row r="92" spans="1:8" x14ac:dyDescent="0.25">
      <c r="A92" s="368"/>
      <c r="B92" s="2"/>
      <c r="C92" s="874" t="s">
        <v>722</v>
      </c>
      <c r="D92" s="841"/>
      <c r="E92" s="841"/>
      <c r="F92" s="842">
        <f>(F85)/$F$26</f>
        <v>459.88632797909594</v>
      </c>
      <c r="G92" s="724"/>
      <c r="H92" s="368"/>
    </row>
    <row r="93" spans="1:8" x14ac:dyDescent="0.25">
      <c r="A93" s="368"/>
      <c r="B93" s="2"/>
      <c r="C93" s="875" t="s">
        <v>723</v>
      </c>
      <c r="D93" s="843"/>
      <c r="E93" s="843"/>
      <c r="F93" s="844">
        <f t="shared" ref="F93:F98" si="4">(F86)/$F$26</f>
        <v>0.41184159753605648</v>
      </c>
      <c r="G93" s="724"/>
      <c r="H93" s="368"/>
    </row>
    <row r="94" spans="1:8" x14ac:dyDescent="0.25">
      <c r="A94" s="368"/>
      <c r="B94" s="2"/>
      <c r="C94" s="875" t="s">
        <v>724</v>
      </c>
      <c r="D94" s="843"/>
      <c r="E94" s="843"/>
      <c r="F94" s="844">
        <f t="shared" si="4"/>
        <v>5.0757038898851569E-3</v>
      </c>
      <c r="G94" s="724"/>
      <c r="H94" s="368"/>
    </row>
    <row r="95" spans="1:8" x14ac:dyDescent="0.25">
      <c r="A95" s="368"/>
      <c r="B95" s="2"/>
      <c r="C95" s="876" t="s">
        <v>725</v>
      </c>
      <c r="D95" s="845"/>
      <c r="E95" s="845"/>
      <c r="F95" s="846">
        <f t="shared" si="4"/>
        <v>0.42796059150778176</v>
      </c>
      <c r="G95" s="724"/>
      <c r="H95" s="368"/>
    </row>
    <row r="96" spans="1:8" x14ac:dyDescent="0.25">
      <c r="A96" s="368"/>
      <c r="B96" s="2"/>
      <c r="C96" s="876" t="s">
        <v>726</v>
      </c>
      <c r="D96" s="845"/>
      <c r="E96" s="845"/>
      <c r="F96" s="846">
        <f t="shared" si="4"/>
        <v>0.16015476595191308</v>
      </c>
      <c r="G96" s="724"/>
      <c r="H96" s="368"/>
    </row>
    <row r="97" spans="1:10" x14ac:dyDescent="0.25">
      <c r="A97" s="368"/>
      <c r="B97" s="2"/>
      <c r="C97" s="875" t="s">
        <v>730</v>
      </c>
      <c r="D97" s="843"/>
      <c r="E97" s="843"/>
      <c r="F97" s="844">
        <f t="shared" si="4"/>
        <v>6.5071572317208226E-3</v>
      </c>
      <c r="G97" s="724"/>
      <c r="H97" s="368"/>
    </row>
    <row r="98" spans="1:10" ht="15.75" thickBot="1" x14ac:dyDescent="0.3">
      <c r="A98" s="368"/>
      <c r="B98" s="2"/>
      <c r="C98" s="877" t="s">
        <v>729</v>
      </c>
      <c r="D98" s="847"/>
      <c r="E98" s="847"/>
      <c r="F98" s="848">
        <f t="shared" si="4"/>
        <v>3.6787779646801919</v>
      </c>
      <c r="G98" s="724"/>
      <c r="H98" s="368"/>
    </row>
    <row r="99" spans="1:10" ht="15.75" thickBot="1" x14ac:dyDescent="0.3">
      <c r="A99" s="368"/>
      <c r="B99" s="724"/>
      <c r="C99" s="172"/>
      <c r="D99" s="197"/>
      <c r="E99" s="197"/>
      <c r="F99" s="197"/>
      <c r="G99" s="34"/>
      <c r="H99" s="368"/>
      <c r="J99" s="500"/>
    </row>
    <row r="100" spans="1:10" x14ac:dyDescent="0.25">
      <c r="A100" s="368"/>
      <c r="B100" s="2"/>
      <c r="C100" s="850" t="s">
        <v>715</v>
      </c>
      <c r="D100" s="832"/>
      <c r="E100" s="832"/>
      <c r="F100" s="795">
        <v>1441634</v>
      </c>
      <c r="G100" s="724"/>
      <c r="H100" s="368"/>
    </row>
    <row r="101" spans="1:10" x14ac:dyDescent="0.25">
      <c r="A101" s="368"/>
      <c r="B101" s="2"/>
      <c r="C101" s="869" t="s">
        <v>716</v>
      </c>
      <c r="D101" s="820"/>
      <c r="E101" s="820"/>
      <c r="F101" s="796">
        <v>1</v>
      </c>
      <c r="G101" s="724"/>
      <c r="H101" s="368"/>
    </row>
    <row r="102" spans="1:10" x14ac:dyDescent="0.25">
      <c r="A102" s="368"/>
      <c r="B102" s="2"/>
      <c r="C102" s="851" t="s">
        <v>717</v>
      </c>
      <c r="D102" s="826"/>
      <c r="E102" s="826"/>
      <c r="F102" s="797">
        <f>(F$100/F$101)/F86</f>
        <v>14001.829913490326</v>
      </c>
      <c r="G102" s="724"/>
      <c r="H102" s="368"/>
    </row>
    <row r="103" spans="1:10" x14ac:dyDescent="0.25">
      <c r="A103" s="368"/>
      <c r="B103" s="2"/>
      <c r="C103" s="851" t="s">
        <v>718</v>
      </c>
      <c r="D103" s="826"/>
      <c r="E103" s="826"/>
      <c r="F103" s="797">
        <f>(F$100/F$101)/F87</f>
        <v>1136105.6761982376</v>
      </c>
      <c r="G103" s="724"/>
      <c r="H103" s="368"/>
    </row>
    <row r="104" spans="1:10" x14ac:dyDescent="0.25">
      <c r="A104" s="368"/>
      <c r="B104" s="2"/>
      <c r="C104" s="851" t="s">
        <v>719</v>
      </c>
      <c r="D104" s="826"/>
      <c r="E104" s="826"/>
      <c r="F104" s="797">
        <f>(F$100/F$101/$F$26)/F95</f>
        <v>13474.455626120764</v>
      </c>
      <c r="G104" s="724"/>
      <c r="H104" s="368"/>
    </row>
    <row r="105" spans="1:10" x14ac:dyDescent="0.25">
      <c r="A105" s="368"/>
      <c r="B105" s="2"/>
      <c r="C105" s="851" t="s">
        <v>720</v>
      </c>
      <c r="D105" s="826"/>
      <c r="E105" s="826"/>
      <c r="F105" s="797">
        <f>(F$100/F$101/$F$26)/F96</f>
        <v>36006.021835974701</v>
      </c>
      <c r="G105" s="724"/>
      <c r="H105" s="368"/>
    </row>
    <row r="106" spans="1:10" ht="15.75" thickBot="1" x14ac:dyDescent="0.3">
      <c r="A106" s="368"/>
      <c r="B106" s="2"/>
      <c r="C106" s="873" t="s">
        <v>721</v>
      </c>
      <c r="D106" s="831"/>
      <c r="E106" s="831"/>
      <c r="F106" s="809">
        <f>(F$100/F$101/$F$26)/F98</f>
        <v>1567.5140101860711</v>
      </c>
      <c r="G106" s="724"/>
      <c r="H106" s="368"/>
    </row>
    <row r="107" spans="1:10" x14ac:dyDescent="0.25">
      <c r="A107" s="368"/>
      <c r="B107" s="724"/>
      <c r="C107" s="724"/>
      <c r="D107" s="724"/>
      <c r="E107" s="724"/>
      <c r="F107" s="724"/>
      <c r="G107" s="724"/>
      <c r="H107" s="368"/>
    </row>
    <row r="108" spans="1:10" x14ac:dyDescent="0.25">
      <c r="A108" s="368"/>
      <c r="B108" s="368"/>
      <c r="C108" s="368"/>
      <c r="D108" s="368"/>
      <c r="E108" s="368"/>
      <c r="F108" s="368"/>
      <c r="G108" s="368"/>
      <c r="H108" s="368"/>
    </row>
  </sheetData>
  <mergeCells count="6">
    <mergeCell ref="C48:F48"/>
    <mergeCell ref="C54:F54"/>
    <mergeCell ref="C3:F3"/>
    <mergeCell ref="C2:F2"/>
    <mergeCell ref="C5:F5"/>
    <mergeCell ref="C22:F22"/>
  </mergeCells>
  <dataValidations count="2">
    <dataValidation type="list" allowBlank="1" showInputMessage="1" showErrorMessage="1" sqref="D13:E14 D19:E20 D16:E17 D10:E10">
      <formula1>$A$352:$A$357</formula1>
    </dataValidation>
    <dataValidation type="list" allowBlank="1" showInputMessage="1" showErrorMessage="1" sqref="D15:E15 D12:E12 D18:E18">
      <formula1>$A$368:$A$369</formula1>
    </dataValidation>
  </dataValidations>
  <printOptions headings="1" gridLines="1"/>
  <pageMargins left="0.7" right="0.7" top="0.75" bottom="0.75" header="0.3" footer="0.3"/>
  <pageSetup paperSize="17" scale="6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OtherVariables!$A$238:$A$243</xm:f>
          </x14:formula1>
          <xm:sqref>D8:E8</xm:sqref>
        </x14:dataValidation>
        <x14:dataValidation type="list" allowBlank="1" showInputMessage="1" showErrorMessage="1">
          <x14:formula1>
            <xm:f>OtherVariables!$A$231:$A$232</xm:f>
          </x14:formula1>
          <xm:sqref>D9:F9</xm:sqref>
        </x14:dataValidation>
        <x14:dataValidation type="list" allowBlank="1" showInputMessage="1" showErrorMessage="1">
          <x14:formula1>
            <xm:f>OtherVariables!$P$24:$P$34</xm:f>
          </x14:formula1>
          <xm:sqref>F7</xm:sqref>
        </x14:dataValidation>
        <x14:dataValidation type="list" allowBlank="1" showInputMessage="1" showErrorMessage="1">
          <x14:formula1>
            <xm:f>OtherVariables!$A$245:$A$246</xm:f>
          </x14:formula1>
          <xm:sqref>F8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B115"/>
  <sheetViews>
    <sheetView showGridLines="0" topLeftCell="A94" zoomScale="85" zoomScaleNormal="85" workbookViewId="0">
      <selection activeCell="H115" sqref="A1:H115"/>
    </sheetView>
  </sheetViews>
  <sheetFormatPr defaultRowHeight="15" x14ac:dyDescent="0.25"/>
  <cols>
    <col min="1" max="1" width="2.28515625" style="165" customWidth="1"/>
    <col min="2" max="2" width="2" style="165" customWidth="1"/>
    <col min="3" max="3" width="71.7109375" style="351" customWidth="1"/>
    <col min="4" max="5" width="16.42578125" style="165" customWidth="1"/>
    <col min="6" max="6" width="29.28515625" style="165" bestFit="1" customWidth="1"/>
    <col min="7" max="7" width="2.28515625" style="165" customWidth="1"/>
    <col min="8" max="8" width="2.140625" style="165" customWidth="1"/>
    <col min="9" max="9" width="35.7109375" style="371" bestFit="1" customWidth="1"/>
    <col min="10" max="11" width="10.140625" style="371" customWidth="1"/>
    <col min="12" max="12" width="10" style="371" customWidth="1"/>
    <col min="13" max="15" width="9.140625" style="371"/>
    <col min="16" max="16" width="9.7109375" style="371" bestFit="1" customWidth="1"/>
    <col min="17" max="25" width="9.140625" style="371"/>
    <col min="26" max="27" width="9.140625" style="165"/>
    <col min="28" max="28" width="20.42578125" style="165" bestFit="1" customWidth="1"/>
    <col min="29" max="16384" width="9.140625" style="165"/>
  </cols>
  <sheetData>
    <row r="1" spans="1:28" x14ac:dyDescent="0.25">
      <c r="A1" s="348"/>
      <c r="B1" s="348"/>
      <c r="C1" s="348"/>
      <c r="D1" s="348"/>
      <c r="E1" s="348"/>
      <c r="F1" s="348"/>
      <c r="G1" s="348"/>
      <c r="H1" s="348"/>
    </row>
    <row r="2" spans="1:28" ht="10.5" customHeight="1" x14ac:dyDescent="0.25">
      <c r="A2" s="348"/>
      <c r="B2" s="347"/>
      <c r="C2" s="888"/>
      <c r="D2" s="888"/>
      <c r="E2" s="888"/>
      <c r="F2" s="888"/>
      <c r="G2" s="347"/>
      <c r="H2" s="348"/>
    </row>
    <row r="3" spans="1:28" ht="26.25" x14ac:dyDescent="0.25">
      <c r="A3" s="361"/>
      <c r="B3" s="171"/>
      <c r="C3" s="889" t="s">
        <v>45</v>
      </c>
      <c r="D3" s="889"/>
      <c r="E3" s="889"/>
      <c r="F3" s="889"/>
      <c r="G3" s="237"/>
      <c r="H3" s="361"/>
    </row>
    <row r="4" spans="1:28" x14ac:dyDescent="0.25">
      <c r="A4" s="361"/>
      <c r="B4" s="171"/>
      <c r="C4" s="3"/>
      <c r="D4"/>
      <c r="E4"/>
      <c r="F4"/>
      <c r="G4" s="172"/>
      <c r="H4" s="361"/>
      <c r="AB4" s="338"/>
    </row>
    <row r="5" spans="1:28" ht="15.75" x14ac:dyDescent="0.25">
      <c r="A5" s="361"/>
      <c r="B5" s="171"/>
      <c r="C5" s="890" t="s">
        <v>321</v>
      </c>
      <c r="D5" s="890"/>
      <c r="E5" s="890"/>
      <c r="F5" s="890"/>
      <c r="G5" s="136"/>
      <c r="H5" s="361"/>
      <c r="AB5" s="338"/>
    </row>
    <row r="6" spans="1:28" ht="15.75" x14ac:dyDescent="0.25">
      <c r="A6" s="361"/>
      <c r="B6" s="171"/>
      <c r="C6" s="354" t="s">
        <v>324</v>
      </c>
      <c r="D6" s="353"/>
      <c r="E6" s="352"/>
      <c r="F6" s="354" t="s">
        <v>326</v>
      </c>
      <c r="G6" s="101"/>
      <c r="H6" s="361"/>
      <c r="AB6" s="338"/>
    </row>
    <row r="7" spans="1:28" x14ac:dyDescent="0.25">
      <c r="A7" s="361"/>
      <c r="B7" s="171"/>
      <c r="C7" s="227" t="s">
        <v>120</v>
      </c>
      <c r="D7" s="70">
        <v>2015</v>
      </c>
      <c r="E7" s="70">
        <v>2025</v>
      </c>
      <c r="F7" s="70">
        <v>2020</v>
      </c>
      <c r="G7" s="12"/>
      <c r="H7" s="361"/>
      <c r="AB7" s="338"/>
    </row>
    <row r="8" spans="1:28" x14ac:dyDescent="0.25">
      <c r="A8" s="361"/>
      <c r="B8" s="171"/>
      <c r="C8" s="316" t="s">
        <v>513</v>
      </c>
      <c r="D8" s="37"/>
      <c r="E8" s="37"/>
      <c r="F8" s="37">
        <v>8391</v>
      </c>
      <c r="G8" s="344"/>
      <c r="H8" s="361"/>
      <c r="AB8" s="338"/>
    </row>
    <row r="9" spans="1:28" x14ac:dyDescent="0.25">
      <c r="A9" s="361"/>
      <c r="B9" s="171"/>
      <c r="C9" s="321" t="s">
        <v>121</v>
      </c>
      <c r="D9" s="37"/>
      <c r="E9" s="37"/>
      <c r="F9" s="37">
        <v>1500</v>
      </c>
      <c r="G9" s="344"/>
      <c r="H9" s="361"/>
      <c r="AB9" s="338"/>
    </row>
    <row r="10" spans="1:28" x14ac:dyDescent="0.25">
      <c r="A10" s="361"/>
      <c r="B10" s="171"/>
      <c r="C10" s="316" t="s">
        <v>23</v>
      </c>
      <c r="D10" s="37"/>
      <c r="E10" s="37"/>
      <c r="F10" s="38">
        <v>2</v>
      </c>
      <c r="G10" s="346"/>
      <c r="H10" s="361"/>
      <c r="AB10" s="338"/>
    </row>
    <row r="11" spans="1:28" x14ac:dyDescent="0.25">
      <c r="A11" s="361"/>
      <c r="B11" s="171"/>
      <c r="C11" s="321" t="s">
        <v>126</v>
      </c>
      <c r="D11" s="37"/>
      <c r="E11" s="37"/>
      <c r="F11" s="37">
        <v>35</v>
      </c>
      <c r="G11" s="344"/>
      <c r="H11" s="361"/>
      <c r="AB11" s="338"/>
    </row>
    <row r="12" spans="1:28" x14ac:dyDescent="0.25">
      <c r="A12" s="361"/>
      <c r="B12" s="171"/>
      <c r="C12" s="316" t="s">
        <v>190</v>
      </c>
      <c r="D12" s="37"/>
      <c r="E12" s="37"/>
      <c r="F12" s="39">
        <v>7</v>
      </c>
      <c r="G12" s="245"/>
      <c r="H12" s="361"/>
      <c r="J12" s="496"/>
      <c r="K12" s="496"/>
      <c r="L12" s="496"/>
    </row>
    <row r="13" spans="1:28" x14ac:dyDescent="0.25">
      <c r="A13" s="361"/>
      <c r="B13" s="171"/>
      <c r="C13" s="321" t="s">
        <v>25</v>
      </c>
      <c r="D13" s="37"/>
      <c r="E13" s="37"/>
      <c r="F13" s="42" t="s">
        <v>21</v>
      </c>
      <c r="G13" s="324"/>
      <c r="H13" s="361"/>
      <c r="J13" s="496"/>
      <c r="K13" s="495"/>
      <c r="L13" s="496"/>
    </row>
    <row r="14" spans="1:28" x14ac:dyDescent="0.25">
      <c r="A14" s="361"/>
      <c r="B14" s="171"/>
      <c r="C14" s="321" t="s">
        <v>26</v>
      </c>
      <c r="D14" s="37"/>
      <c r="E14" s="37"/>
      <c r="F14" s="39" t="s">
        <v>30</v>
      </c>
      <c r="G14" s="245"/>
      <c r="H14" s="361"/>
      <c r="J14" s="496"/>
      <c r="K14" s="495"/>
      <c r="L14" s="496"/>
    </row>
    <row r="15" spans="1:28" x14ac:dyDescent="0.25">
      <c r="A15" s="368"/>
      <c r="B15" s="724"/>
      <c r="C15" s="321" t="s">
        <v>656</v>
      </c>
      <c r="D15" s="749"/>
      <c r="E15" s="749"/>
      <c r="F15" s="39" t="s">
        <v>507</v>
      </c>
      <c r="G15" s="245"/>
      <c r="H15" s="368"/>
      <c r="AB15" s="338"/>
    </row>
    <row r="16" spans="1:28" x14ac:dyDescent="0.25">
      <c r="A16" s="361"/>
      <c r="B16" s="171"/>
      <c r="C16" s="329" t="s">
        <v>195</v>
      </c>
      <c r="D16" s="12"/>
      <c r="E16" s="12"/>
      <c r="F16" s="12"/>
      <c r="G16" s="12"/>
      <c r="H16" s="361"/>
      <c r="AB16" s="338"/>
    </row>
    <row r="17" spans="1:28" x14ac:dyDescent="0.25">
      <c r="A17" s="361"/>
      <c r="B17" s="171"/>
      <c r="C17" s="191" t="s">
        <v>197</v>
      </c>
      <c r="D17" s="42"/>
      <c r="E17" s="42"/>
      <c r="F17" s="42" t="s">
        <v>21</v>
      </c>
      <c r="G17" s="324"/>
      <c r="H17" s="361"/>
      <c r="J17" s="496"/>
      <c r="AB17" s="338"/>
    </row>
    <row r="18" spans="1:28" x14ac:dyDescent="0.25">
      <c r="A18" s="361"/>
      <c r="B18" s="171"/>
      <c r="C18" s="191" t="s">
        <v>447</v>
      </c>
      <c r="D18" s="41"/>
      <c r="E18" s="41"/>
      <c r="F18" s="41">
        <v>1.8</v>
      </c>
      <c r="G18" s="335"/>
      <c r="H18" s="361"/>
      <c r="AB18" s="338"/>
    </row>
    <row r="19" spans="1:28" x14ac:dyDescent="0.25">
      <c r="A19" s="361"/>
      <c r="B19" s="171"/>
      <c r="C19" s="329" t="s">
        <v>196</v>
      </c>
      <c r="D19" s="12"/>
      <c r="E19" s="12"/>
      <c r="F19" s="12"/>
      <c r="G19" s="12"/>
      <c r="H19" s="361"/>
      <c r="I19" s="541"/>
      <c r="AB19" s="338"/>
    </row>
    <row r="20" spans="1:28" x14ac:dyDescent="0.25">
      <c r="A20" s="361"/>
      <c r="B20" s="171"/>
      <c r="C20" s="191" t="s">
        <v>197</v>
      </c>
      <c r="D20" s="42"/>
      <c r="E20" s="42"/>
      <c r="F20" s="42" t="s">
        <v>21</v>
      </c>
      <c r="G20" s="324"/>
      <c r="H20" s="361"/>
      <c r="J20" s="496"/>
      <c r="AB20" s="338"/>
    </row>
    <row r="21" spans="1:28" x14ac:dyDescent="0.25">
      <c r="A21" s="361"/>
      <c r="B21" s="171"/>
      <c r="C21" s="191" t="s">
        <v>448</v>
      </c>
      <c r="D21" s="41"/>
      <c r="E21" s="41"/>
      <c r="F21" s="41">
        <v>0.98</v>
      </c>
      <c r="G21" s="335"/>
      <c r="H21" s="361"/>
      <c r="AB21" s="338"/>
    </row>
    <row r="22" spans="1:28" x14ac:dyDescent="0.25">
      <c r="A22" s="361"/>
      <c r="B22" s="171"/>
      <c r="C22" s="329" t="s">
        <v>0</v>
      </c>
      <c r="D22" s="12"/>
      <c r="E22" s="12"/>
      <c r="F22" s="12"/>
      <c r="G22" s="12"/>
      <c r="H22" s="361"/>
      <c r="AB22" s="338"/>
    </row>
    <row r="23" spans="1:28" x14ac:dyDescent="0.25">
      <c r="A23" s="361"/>
      <c r="B23" s="171"/>
      <c r="C23" s="313" t="s">
        <v>22</v>
      </c>
      <c r="D23" s="42"/>
      <c r="E23" s="42"/>
      <c r="F23" s="42" t="s">
        <v>21</v>
      </c>
      <c r="G23" s="324"/>
      <c r="H23" s="361"/>
      <c r="J23" s="496"/>
      <c r="AB23" s="338"/>
    </row>
    <row r="24" spans="1:28" x14ac:dyDescent="0.25">
      <c r="A24" s="361"/>
      <c r="B24" s="171"/>
      <c r="C24" s="191" t="s">
        <v>449</v>
      </c>
      <c r="D24" s="41"/>
      <c r="E24" s="41"/>
      <c r="F24" s="41">
        <v>16</v>
      </c>
      <c r="G24" s="335"/>
      <c r="H24" s="361"/>
      <c r="K24" s="495"/>
      <c r="L24" s="496"/>
    </row>
    <row r="25" spans="1:28" ht="30" x14ac:dyDescent="0.25">
      <c r="A25" s="361"/>
      <c r="B25" s="171"/>
      <c r="C25" s="323" t="s">
        <v>44</v>
      </c>
      <c r="D25" s="39"/>
      <c r="E25" s="473"/>
      <c r="F25" s="473">
        <v>600</v>
      </c>
      <c r="G25" s="245"/>
      <c r="H25" s="361"/>
      <c r="K25" s="495"/>
      <c r="L25" s="496"/>
    </row>
    <row r="26" spans="1:28" x14ac:dyDescent="0.25">
      <c r="A26" s="361"/>
      <c r="B26" s="171"/>
      <c r="C26" s="313" t="s">
        <v>31</v>
      </c>
      <c r="D26" s="42"/>
      <c r="E26" s="42"/>
      <c r="F26" s="42" t="s">
        <v>21</v>
      </c>
      <c r="G26" s="324"/>
      <c r="H26" s="361"/>
      <c r="L26" s="497"/>
      <c r="M26" s="498"/>
    </row>
    <row r="27" spans="1:28" x14ac:dyDescent="0.25">
      <c r="A27" s="361"/>
      <c r="B27" s="171"/>
      <c r="C27" s="336"/>
      <c r="D27" s="324"/>
      <c r="E27" s="324"/>
      <c r="F27" s="324"/>
      <c r="G27" s="324"/>
      <c r="H27" s="361"/>
      <c r="L27" s="497"/>
      <c r="M27" s="498"/>
    </row>
    <row r="28" spans="1:28" ht="15.75" x14ac:dyDescent="0.25">
      <c r="A28" s="361"/>
      <c r="B28" s="171"/>
      <c r="C28" s="890" t="s">
        <v>349</v>
      </c>
      <c r="D28" s="890"/>
      <c r="E28" s="890"/>
      <c r="F28" s="890"/>
      <c r="G28" s="7"/>
      <c r="H28" s="361"/>
    </row>
    <row r="29" spans="1:28" x14ac:dyDescent="0.25">
      <c r="A29" s="361"/>
      <c r="B29" s="171"/>
      <c r="C29" s="355" t="s">
        <v>361</v>
      </c>
      <c r="D29" s="173"/>
      <c r="E29" s="173"/>
      <c r="F29" s="355" t="s">
        <v>332</v>
      </c>
      <c r="G29" s="173"/>
      <c r="H29" s="361"/>
    </row>
    <row r="30" spans="1:28" x14ac:dyDescent="0.25">
      <c r="A30" s="361"/>
      <c r="B30" s="171"/>
      <c r="C30" s="183" t="s">
        <v>12</v>
      </c>
      <c r="D30" s="576"/>
      <c r="E30" s="576"/>
      <c r="F30" s="576">
        <f>IF(F12&lt;3,0,IF(F12&gt;3,IF(F12&gt;6,OtherVariables!$C$165,OtherVariables!$C$164),OtherVariables!$C$163))</f>
        <v>1.5E-3</v>
      </c>
      <c r="G30" s="330"/>
      <c r="H30" s="361"/>
    </row>
    <row r="31" spans="1:28" x14ac:dyDescent="0.25">
      <c r="A31" s="361"/>
      <c r="B31" s="171"/>
      <c r="C31" s="183" t="s">
        <v>10</v>
      </c>
      <c r="D31" s="9"/>
      <c r="E31" s="9"/>
      <c r="F31" s="9">
        <f>IF(F13="N",INDEX(OtherVariables!$B$155:$E$157,IF(F8&lt;OtherVariables!$B$155,1,IF(F8&lt;OtherVariables!$B$156,2,3)),IF(F10&lt;1,2,IF(F10&lt;2,3,4))),INDEX(OtherVariables!$H$155:$K$157,IF(F8&lt;OtherVariables!$B$155,1,IF(F8&lt;OtherVariables!$B$156,2,3)),IF(F10&lt;1,2,IF(F10&lt;2,3,4))))</f>
        <v>2.07E-2</v>
      </c>
      <c r="G31" s="330"/>
      <c r="H31" s="361"/>
    </row>
    <row r="32" spans="1:28" x14ac:dyDescent="0.25">
      <c r="A32" s="361"/>
      <c r="B32" s="171"/>
      <c r="C32" s="205" t="s">
        <v>68</v>
      </c>
      <c r="D32" s="18"/>
      <c r="E32" s="18"/>
      <c r="F32" s="18">
        <v>200</v>
      </c>
      <c r="G32" s="334"/>
      <c r="H32" s="361"/>
    </row>
    <row r="33" spans="1:8" x14ac:dyDescent="0.25">
      <c r="A33" s="361"/>
      <c r="B33" s="171"/>
      <c r="C33" s="205" t="s">
        <v>42</v>
      </c>
      <c r="D33" s="45"/>
      <c r="E33" s="45"/>
      <c r="F33" s="45">
        <f>IF(F26="Y",VLOOKUP(F14,OtherVariables!$B$217:$D$221,3,FALSE),VLOOKUP(F14,OtherVariables!$B$217:$D$221,2,FALSE))</f>
        <v>2.8043098098945115E-2</v>
      </c>
      <c r="G33" s="327"/>
      <c r="H33" s="361"/>
    </row>
    <row r="34" spans="1:8" x14ac:dyDescent="0.25">
      <c r="A34" s="361"/>
      <c r="B34" s="171"/>
      <c r="C34" s="205" t="s">
        <v>122</v>
      </c>
      <c r="D34" s="45"/>
      <c r="E34" s="45"/>
      <c r="F34" s="45">
        <v>0.1</v>
      </c>
      <c r="G34" s="327"/>
      <c r="H34" s="361"/>
    </row>
    <row r="35" spans="1:8" x14ac:dyDescent="0.25">
      <c r="A35" s="361"/>
      <c r="B35" s="171"/>
      <c r="C35" s="205" t="s">
        <v>198</v>
      </c>
      <c r="D35" s="124"/>
      <c r="E35" s="124"/>
      <c r="F35" s="124">
        <f>VLOOKUP(F15,OtherVariables!$J$183:$L$193,2,FALSE)</f>
        <v>1.1100000000000001</v>
      </c>
      <c r="G35" s="339"/>
      <c r="H35" s="361"/>
    </row>
    <row r="36" spans="1:8" x14ac:dyDescent="0.25">
      <c r="A36" s="361"/>
      <c r="B36" s="171"/>
      <c r="C36" s="205" t="s">
        <v>199</v>
      </c>
      <c r="D36" s="124"/>
      <c r="E36" s="124"/>
      <c r="F36" s="124">
        <f>VLOOKUP(F15,OtherVariables!$J$183:$L$193,3,FALSE)</f>
        <v>5</v>
      </c>
      <c r="G36" s="339"/>
      <c r="H36" s="361"/>
    </row>
    <row r="37" spans="1:8" x14ac:dyDescent="0.25">
      <c r="A37" s="361"/>
      <c r="B37" s="171"/>
      <c r="C37" s="1"/>
      <c r="D37" s="339"/>
      <c r="E37" s="339"/>
      <c r="F37" s="339"/>
      <c r="G37" s="339"/>
      <c r="H37" s="361"/>
    </row>
    <row r="38" spans="1:8" ht="15.75" x14ac:dyDescent="0.25">
      <c r="A38" s="361"/>
      <c r="B38" s="171"/>
      <c r="C38" s="890" t="s">
        <v>317</v>
      </c>
      <c r="D38" s="890"/>
      <c r="E38" s="890"/>
      <c r="F38" s="890"/>
      <c r="G38" s="12"/>
      <c r="H38" s="361"/>
    </row>
    <row r="39" spans="1:8" ht="15.75" x14ac:dyDescent="0.25">
      <c r="A39" s="361"/>
      <c r="B39" s="171"/>
      <c r="C39" s="358" t="s">
        <v>324</v>
      </c>
      <c r="D39" s="357"/>
      <c r="E39" s="356"/>
      <c r="F39" s="358" t="s">
        <v>323</v>
      </c>
      <c r="G39" s="173"/>
      <c r="H39" s="361"/>
    </row>
    <row r="40" spans="1:8" x14ac:dyDescent="0.25">
      <c r="A40" s="361"/>
      <c r="B40" s="171"/>
      <c r="C40" s="205" t="s">
        <v>454</v>
      </c>
      <c r="D40" s="14"/>
      <c r="E40" s="14"/>
      <c r="F40" s="14">
        <f>IF(F17="Y",(F8*(F30+F31))*F32, 0)</f>
        <v>37256.04</v>
      </c>
      <c r="G40" s="25"/>
      <c r="H40" s="361"/>
    </row>
    <row r="41" spans="1:8" x14ac:dyDescent="0.25">
      <c r="A41" s="361"/>
      <c r="B41" s="171"/>
      <c r="C41" s="205" t="s">
        <v>455</v>
      </c>
      <c r="D41" s="14"/>
      <c r="E41" s="14"/>
      <c r="F41" s="14">
        <f>IF(F20="Y",(F8*(F30+F31))*F32,0)</f>
        <v>37256.04</v>
      </c>
      <c r="G41" s="25"/>
      <c r="H41" s="361"/>
    </row>
    <row r="42" spans="1:8" x14ac:dyDescent="0.25">
      <c r="A42" s="361"/>
      <c r="B42" s="171"/>
      <c r="C42" s="205" t="s">
        <v>456</v>
      </c>
      <c r="D42" s="14"/>
      <c r="E42" s="14"/>
      <c r="F42" s="14">
        <f>IF(F23="Y", ((F25*(1+F33))-F25)*F32, 0)</f>
        <v>3365.1717718734062</v>
      </c>
      <c r="G42" s="25"/>
      <c r="H42" s="361"/>
    </row>
    <row r="43" spans="1:8" x14ac:dyDescent="0.25">
      <c r="A43" s="361"/>
      <c r="B43" s="171"/>
      <c r="C43" s="205" t="s">
        <v>451</v>
      </c>
      <c r="D43" s="14"/>
      <c r="E43" s="14"/>
      <c r="F43" s="14">
        <f>SUM(F40:F42)</f>
        <v>77877.251771873402</v>
      </c>
      <c r="G43" s="25"/>
      <c r="H43" s="361"/>
    </row>
    <row r="44" spans="1:8" x14ac:dyDescent="0.25">
      <c r="A44" s="368"/>
      <c r="B44" s="462"/>
      <c r="C44" s="205" t="s">
        <v>452</v>
      </c>
      <c r="D44" s="14"/>
      <c r="E44" s="14"/>
      <c r="F44" s="14">
        <f>F43/F32</f>
        <v>389.38625885936699</v>
      </c>
      <c r="G44" s="25"/>
      <c r="H44" s="368"/>
    </row>
    <row r="45" spans="1:8" x14ac:dyDescent="0.25">
      <c r="A45" s="361"/>
      <c r="B45" s="171"/>
      <c r="C45" s="205" t="s">
        <v>124</v>
      </c>
      <c r="D45" s="14"/>
      <c r="E45" s="14"/>
      <c r="F45" s="577">
        <f>F44*F34</f>
        <v>38.938625885936702</v>
      </c>
      <c r="G45" s="25"/>
      <c r="H45" s="361"/>
    </row>
    <row r="46" spans="1:8" x14ac:dyDescent="0.25">
      <c r="A46" s="361"/>
      <c r="B46" s="171"/>
      <c r="C46" s="205" t="s">
        <v>127</v>
      </c>
      <c r="D46" s="68"/>
      <c r="E46" s="68"/>
      <c r="F46" s="68">
        <f>F10*60/F11</f>
        <v>3.4285714285714284</v>
      </c>
      <c r="G46" s="333"/>
      <c r="H46" s="361"/>
    </row>
    <row r="47" spans="1:8" x14ac:dyDescent="0.25">
      <c r="A47" s="361"/>
      <c r="B47" s="171"/>
      <c r="C47" s="205" t="s">
        <v>123</v>
      </c>
      <c r="D47" s="67"/>
      <c r="E47" s="67"/>
      <c r="F47" s="67">
        <f>(F8*F34)/F9</f>
        <v>0.55940000000000001</v>
      </c>
      <c r="G47" s="340"/>
      <c r="H47" s="361"/>
    </row>
    <row r="48" spans="1:8" x14ac:dyDescent="0.25">
      <c r="A48" s="361"/>
      <c r="B48" s="171"/>
      <c r="C48" s="205" t="s">
        <v>125</v>
      </c>
      <c r="D48" s="17"/>
      <c r="E48" s="17"/>
      <c r="F48" s="17">
        <f>((F8*F34)-F45)/F9</f>
        <v>0.53344091607604216</v>
      </c>
      <c r="G48" s="341"/>
      <c r="H48" s="361"/>
    </row>
    <row r="49" spans="1:20" x14ac:dyDescent="0.25">
      <c r="A49" s="361"/>
      <c r="B49" s="171"/>
      <c r="C49" s="205" t="s">
        <v>419</v>
      </c>
      <c r="D49" s="67"/>
      <c r="E49" s="67"/>
      <c r="F49" s="67">
        <f>F46*(1+F35*((F47)^F36))</f>
        <v>3.6370437923288614</v>
      </c>
      <c r="G49" s="340"/>
      <c r="H49" s="361"/>
    </row>
    <row r="50" spans="1:20" x14ac:dyDescent="0.25">
      <c r="A50" s="361"/>
      <c r="B50" s="171"/>
      <c r="C50" s="193" t="s">
        <v>420</v>
      </c>
      <c r="D50" s="69"/>
      <c r="E50" s="69"/>
      <c r="F50" s="476">
        <f>F46*(1+F35*((F48)^F36))</f>
        <v>3.5929585536566733</v>
      </c>
      <c r="G50" s="342"/>
      <c r="H50" s="361"/>
    </row>
    <row r="51" spans="1:20" x14ac:dyDescent="0.25">
      <c r="A51" s="361"/>
      <c r="B51" s="171"/>
      <c r="C51" s="205" t="s">
        <v>232</v>
      </c>
      <c r="D51" s="69">
        <f>F51</f>
        <v>32.993828738906096</v>
      </c>
      <c r="E51" s="69">
        <f>F51</f>
        <v>32.993828738906096</v>
      </c>
      <c r="F51" s="476">
        <f>F$10/(F49/60)</f>
        <v>32.993828738906096</v>
      </c>
      <c r="G51" s="342"/>
      <c r="H51" s="361"/>
    </row>
    <row r="52" spans="1:20" x14ac:dyDescent="0.25">
      <c r="A52" s="361"/>
      <c r="B52" s="171"/>
      <c r="C52" s="193" t="s">
        <v>233</v>
      </c>
      <c r="D52" s="69">
        <f>F52</f>
        <v>33.398659686144171</v>
      </c>
      <c r="E52" s="69">
        <f>F52</f>
        <v>33.398659686144171</v>
      </c>
      <c r="F52" s="476">
        <f>F$10/(F50/60)</f>
        <v>33.398659686144171</v>
      </c>
      <c r="G52" s="342"/>
      <c r="H52" s="361"/>
    </row>
    <row r="53" spans="1:20" x14ac:dyDescent="0.25">
      <c r="A53" s="361"/>
      <c r="B53" s="171"/>
      <c r="C53" s="312" t="s">
        <v>210</v>
      </c>
      <c r="D53" s="350"/>
      <c r="E53" s="350"/>
      <c r="F53" s="350"/>
      <c r="G53" s="342"/>
      <c r="H53" s="361"/>
    </row>
    <row r="54" spans="1:20" x14ac:dyDescent="0.25">
      <c r="A54" s="361"/>
      <c r="B54" s="171"/>
      <c r="C54" s="193" t="s">
        <v>643</v>
      </c>
      <c r="D54" s="69">
        <f>LOOKUP(ROUNDDOWN($D$51/5, 0)*5,'2015ER'!$D$6:$D$21,'2015ER'!$H$6:$H$21)+(($D$51-ROUNDDOWN($D$51/5, 0)*5)/5)*(LOOKUP(ROUNDUP($D$51/5, 0)*5,'2015ER'!$D$6:$D$21,'2015ER'!$H$6:$H$21)-LOOKUP(ROUNDDOWN($D$51/5, 0)*5,'2015ER'!$D$6:$D$21,'2015ER'!$H$6:$H$21))</f>
        <v>384.83300152377592</v>
      </c>
      <c r="E54" s="69">
        <f>LOOKUP(ROUNDDOWN($E$51/5, 0)*5,'2025ER'!$D$6:$D$21,'2025ER'!$H$6:$H$21)+(($E$51-ROUNDDOWN($E$51/5, 0)*5)/5)*(LOOKUP(ROUNDUP($E$51/5, 0)*5,'2025ER'!$D$6:$D$21,'2025ER'!$H$6:$H$21)-LOOKUP(ROUNDDOWN($E$51/5, 0)*5,'2025ER'!$D$6:$D$21,'2025ER'!$H$6:$H$21))</f>
        <v>290.47884136304282</v>
      </c>
      <c r="F54" s="69">
        <f t="shared" ref="F54:F60" si="0">TREND(D54:E54,$D$7:$E$7,$F$7)</f>
        <v>337.65592144340917</v>
      </c>
      <c r="G54" s="342"/>
      <c r="H54" s="361"/>
    </row>
    <row r="55" spans="1:20" x14ac:dyDescent="0.25">
      <c r="A55" s="361"/>
      <c r="B55" s="171"/>
      <c r="C55" s="193" t="s">
        <v>181</v>
      </c>
      <c r="D55" s="69">
        <f>LOOKUP(ROUNDDOWN($D$51/5, 0)*5,'2015ER'!$D$23:$D$38,'2015ER'!$H$23:$H$38)+(($D$51-ROUNDDOWN($D$51/5, 0)*5)/5)*(LOOKUP(ROUNDUP($D$51/5, 0)*5,'2015ER'!$D$23:$D$38,'2015ER'!$H$23:$H$38)-LOOKUP(ROUNDDOWN($D$51/5, 0)*5,'2015ER'!$D$23:$D$38,'2015ER'!$H$23:$H$38))</f>
        <v>0.44436815404771135</v>
      </c>
      <c r="E55" s="69">
        <f>LOOKUP(ROUNDDOWN($E$51/5, 0)*5,'2025ER'!$D$23:$D$38,'2025ER'!$H$23:$H$38)+(($E$51-ROUNDDOWN($E$51/5, 0)*5)/5)*(LOOKUP(ROUNDUP($E$51/5, 0)*5,'2025ER'!$D$23:$D$38,'2025ER'!$H$23:$H$38)-LOOKUP(ROUNDDOWN($E$51/5, 0)*5,'2025ER'!$D$23:$D$38,'2025ER'!$H$23:$H$38))</f>
        <v>9.9472313930572556E-2</v>
      </c>
      <c r="F55" s="69">
        <f t="shared" si="0"/>
        <v>0.27192023398913534</v>
      </c>
      <c r="G55" s="342"/>
      <c r="H55" s="361"/>
    </row>
    <row r="56" spans="1:20" x14ac:dyDescent="0.25">
      <c r="A56" s="361"/>
      <c r="B56" s="171"/>
      <c r="C56" s="193" t="s">
        <v>200</v>
      </c>
      <c r="D56" s="69">
        <f>LOOKUP(ROUNDDOWN($D$51/5, 0)*5,'2015ER'!$D$40:$D$55,'2015ER'!$H$40:$H$55)+(($D$51-ROUNDDOWN($D$51/5, 0)*5)/5)*(LOOKUP(ROUNDUP($D$51/5, 0)*5,'2015ER'!$D$40:$D$55,'2015ER'!$H$40:$H$55)-LOOKUP(ROUNDDOWN($D$51/5, 0)*5,'2015ER'!$D$40:$D$55,'2015ER'!$H$40:$H$55))</f>
        <v>4.2846463583848917E-3</v>
      </c>
      <c r="E56" s="69">
        <f>LOOKUP(ROUNDDOWN($E$51/5, 0)*5,'2025ER'!$D$40:$D$55,'2025ER'!$H$40:$H$55)+(($E$51-ROUNDDOWN($E$51/5, 0)*5)/5)*(LOOKUP(ROUNDUP($E$51/5, 0)*5,'2025ER'!$D$40:$D$55,'2025ER'!$H$40:$H$55)-LOOKUP(ROUNDDOWN($E$51/5, 0)*5,'2025ER'!$D$40:$D$55,'2025ER'!$H$40:$H$55))</f>
        <v>3.3793572992936193E-3</v>
      </c>
      <c r="F56" s="69">
        <f t="shared" si="0"/>
        <v>3.8320018288392488E-3</v>
      </c>
      <c r="G56" s="342"/>
      <c r="H56" s="361"/>
    </row>
    <row r="57" spans="1:20" x14ac:dyDescent="0.25">
      <c r="A57" s="361"/>
      <c r="B57" s="171"/>
      <c r="C57" s="193" t="s">
        <v>224</v>
      </c>
      <c r="D57" s="69">
        <f>LOOKUP(ROUNDDOWN($D$51/5, 0)*5,'2015ER'!$D$57:$D$72,'2015ER'!$H$57:$H$72)+(($D$51-ROUNDDOWN($D$51/5, 0)*5)/5)*(LOOKUP(ROUNDUP($D$51/5, 0)*5,'2015ER'!$D$57:$D$72,'2015ER'!$H$57:$H$72)-LOOKUP(ROUNDDOWN($D$51/5, 0)*5,'2015ER'!$D$57:$D$72,'2015ER'!$H$57:$H$72))</f>
        <v>0.44653061900807717</v>
      </c>
      <c r="E57" s="69">
        <f>LOOKUP(ROUNDDOWN($E$51/5, 0)*5,'2025ER'!$D$57:$D$72,'2025ER'!$H$57:$H$72)+(($E$51-ROUNDDOWN($E$51/5, 0)*5)/5)*(LOOKUP(ROUNDUP($E$51/5, 0)*5,'2025ER'!$D$57:$D$72,'2025ER'!$H$57:$H$72)-LOOKUP(ROUNDDOWN($E$51/5, 0)*5,'2025ER'!$D$57:$D$72,'2025ER'!$H$57:$H$72))</f>
        <v>0.10000317414002408</v>
      </c>
      <c r="F57" s="69">
        <f t="shared" si="0"/>
        <v>0.27326689657405723</v>
      </c>
      <c r="G57" s="342"/>
      <c r="H57" s="361"/>
      <c r="N57" s="499"/>
      <c r="O57" s="512"/>
      <c r="P57" s="512"/>
      <c r="Q57" s="512"/>
      <c r="R57" s="512"/>
      <c r="S57" s="512"/>
      <c r="T57" s="512"/>
    </row>
    <row r="58" spans="1:20" x14ac:dyDescent="0.25">
      <c r="A58" s="361"/>
      <c r="B58" s="171"/>
      <c r="C58" s="193" t="s">
        <v>222</v>
      </c>
      <c r="D58" s="69">
        <f>LOOKUP(ROUNDDOWN($D$51/5, 0)*5,'2015ER'!$D$74:$D$89,'2015ER'!$H$74:$H$89)+(($D$51-ROUNDDOWN($D$51/5, 0)*5)/5)*(LOOKUP(ROUNDUP($D$51/5, 0)*5,'2015ER'!$D$74:$D$89,'2015ER'!$H$74:$H$89)-LOOKUP(ROUNDDOWN($D$51/5, 0)*5,'2015ER'!$D$74:$D$89,'2015ER'!$H$74:$H$89))</f>
        <v>0.17849014574237293</v>
      </c>
      <c r="E58" s="69">
        <f>LOOKUP(ROUNDDOWN($E$51/5, 0)*5,'2025ER'!$D$74:$D$89,'2025ER'!$H$74:$H$89)+(($E$51-ROUNDDOWN($E$51/5, 0)*5)/5)*(LOOKUP(ROUNDUP($E$51/5, 0)*5,'2025ER'!$D$74:$D$89,'2025ER'!$H$74:$H$89)-LOOKUP(ROUNDDOWN($E$51/5, 0)*5,'2025ER'!$D$74:$D$89,'2025ER'!$H$74:$H$89))</f>
        <v>5.925986389273951E-2</v>
      </c>
      <c r="F58" s="69">
        <f t="shared" si="0"/>
        <v>0.11887500481755708</v>
      </c>
      <c r="G58" s="342"/>
      <c r="H58" s="361"/>
      <c r="N58" s="499"/>
      <c r="O58" s="512"/>
      <c r="P58" s="512"/>
      <c r="Q58" s="512"/>
      <c r="R58" s="512"/>
      <c r="S58" s="512"/>
      <c r="T58" s="512"/>
    </row>
    <row r="59" spans="1:20" x14ac:dyDescent="0.25">
      <c r="A59" s="368"/>
      <c r="B59" s="724"/>
      <c r="C59" s="193" t="s">
        <v>584</v>
      </c>
      <c r="D59" s="69">
        <f>LOOKUP(ROUNDDOWN($D$51/5, 0)*5,'2015ER'!$D$91:$D$106,'2015ER'!$H$91:$H$106)+(($D$51-ROUNDDOWN($D$51/5, 0)*5)/5)*(LOOKUP(ROUNDUP($D$51/5, 0)*5,'2015ER'!$D$91:$D$106,'2015ER'!$H$91:$H$106)-LOOKUP(ROUNDDOWN($D$51/5, 0)*5,'2015ER'!$D$91:$D$106,'2015ER'!$H$91:$H$106))</f>
        <v>7.5769803753510433E-3</v>
      </c>
      <c r="E59" s="733">
        <f>LOOKUP(ROUNDDOWN($E$51/5, 0)*5,'2025ER'!$D$91:$D$106,'2025ER'!$H$91:$H$106)+(($E$51-ROUNDDOWN($E$51/5, 0)*5)/5)*(LOOKUP(ROUNDUP($E$51/5, 0)*5,'2025ER'!$D$91:$D$106,'2025ER'!$H$91:$H$106)-LOOKUP(ROUNDDOWN($E$51/5, 0)*5,'2025ER'!$D$91:$D$106,'2025ER'!$H$91:$H$106))</f>
        <v>1.971194888103372E-3</v>
      </c>
      <c r="F59" s="69">
        <f t="shared" si="0"/>
        <v>4.774087631727264E-3</v>
      </c>
      <c r="G59" s="342"/>
      <c r="H59" s="368"/>
      <c r="N59" s="499"/>
      <c r="O59" s="512"/>
      <c r="P59" s="512"/>
      <c r="Q59" s="512"/>
      <c r="R59" s="512"/>
      <c r="S59" s="512"/>
      <c r="T59" s="512"/>
    </row>
    <row r="60" spans="1:20" x14ac:dyDescent="0.25">
      <c r="A60" s="368"/>
      <c r="B60" s="724"/>
      <c r="C60" s="193" t="s">
        <v>585</v>
      </c>
      <c r="D60" s="69">
        <f>LOOKUP(ROUNDDOWN($D$51/5, 0)*5,'2015ER'!$D$108:$D$123,'2015ER'!$H$108:$H$123)+(($D$51-ROUNDDOWN($D$51/5, 0)*5)/5)*(LOOKUP(ROUNDUP($D$51/5, 0)*5,'2015ER'!$D$108:$D$123,'2015ER'!$H$108:$H$123)-LOOKUP(ROUNDDOWN($D$51/5, 0)*5,'2015ER'!$D$108:$D$123,'2015ER'!$H$108:$H$123))</f>
        <v>3.0997750447206904</v>
      </c>
      <c r="E60" s="733">
        <f>LOOKUP(ROUNDDOWN($E$51/5, 0)*5,'2025ER'!$D$91:$D$106,'2025ER'!$H$91:$H$106)+(($E$51-ROUNDDOWN($E$51/5, 0)*5)/5)*(LOOKUP(ROUNDUP($E$51/5, 0)*5,'2025ER'!$D$91:$D$106,'2025ER'!$H$91:$H$106)-LOOKUP(ROUNDDOWN($E$51/5, 0)*5,'2025ER'!$D$91:$D$106,'2025ER'!$H$91:$H$106))</f>
        <v>1.971194888103372E-3</v>
      </c>
      <c r="F60" s="69">
        <f t="shared" si="0"/>
        <v>1.5508731198043506</v>
      </c>
      <c r="G60" s="342"/>
      <c r="H60" s="368"/>
      <c r="N60" s="499"/>
      <c r="O60" s="512"/>
      <c r="P60" s="512"/>
      <c r="Q60" s="512"/>
      <c r="R60" s="512"/>
      <c r="S60" s="512"/>
      <c r="T60" s="512"/>
    </row>
    <row r="61" spans="1:20" x14ac:dyDescent="0.25">
      <c r="A61" s="361"/>
      <c r="B61" s="171"/>
      <c r="C61" s="312" t="s">
        <v>213</v>
      </c>
      <c r="D61" s="350"/>
      <c r="E61" s="350"/>
      <c r="F61" s="350"/>
      <c r="G61" s="342"/>
      <c r="H61" s="361"/>
      <c r="N61" s="499"/>
      <c r="O61" s="512"/>
      <c r="P61" s="512"/>
      <c r="Q61" s="512"/>
      <c r="R61" s="512"/>
      <c r="S61" s="512"/>
      <c r="T61" s="512"/>
    </row>
    <row r="62" spans="1:20" x14ac:dyDescent="0.25">
      <c r="A62" s="361"/>
      <c r="B62" s="171"/>
      <c r="C62" s="193" t="s">
        <v>643</v>
      </c>
      <c r="D62" s="69">
        <f>LOOKUP(ROUNDDOWN($D$52/5, 0)*5,'2015ER'!$D$6:$D$21,'2015ER'!$H$6:$H$21)+(($D$52-ROUNDDOWN($D$52/5, 0)*5)/5)*(LOOKUP(ROUNDUP($D$52/5, 0)*5,'2015ER'!$D$6:$D$21,'2015ER'!$H$6:$H$21)-LOOKUP(ROUNDDOWN($D$52/5, 0)*5,'2015ER'!$D$6:$D$21,'2015ER'!$H$6:$H$21))</f>
        <v>383.0533333929298</v>
      </c>
      <c r="E62" s="69">
        <f>LOOKUP(ROUNDDOWN($E$52/5, 0)*5,'2025ER'!$D$6:$D$21,'2025ER'!$H$6:$H$21)+(($E$52-ROUNDDOWN($E$52/5, 0)*5)/5)*(LOOKUP(ROUNDUP($E$52/5, 0)*5,'2025ER'!$D$6:$D$21,'2025ER'!$H$6:$H$21)-LOOKUP(ROUNDDOWN($E$52/5, 0)*5,'2025ER'!$D$6:$D$21,'2025ER'!$H$6:$H$21))</f>
        <v>289.13551598654971</v>
      </c>
      <c r="F62" s="69">
        <f>TREND(D62:E62,$D$7:$E$7,$F$7)</f>
        <v>336.09442468973793</v>
      </c>
      <c r="G62" s="342"/>
      <c r="H62" s="361"/>
      <c r="N62" s="499"/>
      <c r="O62" s="512"/>
      <c r="P62" s="512"/>
      <c r="Q62" s="512"/>
      <c r="R62" s="512"/>
      <c r="S62" s="512"/>
      <c r="T62" s="512"/>
    </row>
    <row r="63" spans="1:20" x14ac:dyDescent="0.25">
      <c r="A63" s="361"/>
      <c r="B63" s="171"/>
      <c r="C63" s="193" t="s">
        <v>181</v>
      </c>
      <c r="D63" s="69">
        <f>LOOKUP(ROUNDDOWN($D$52/5, 0)*5,'2015ER'!$D$23:$D$38,'2015ER'!$H$23:$H$38)+(($D$52-ROUNDDOWN($D$52/5, 0)*5)/5)*(LOOKUP(ROUNDUP($D$52/5, 0)*5,'2015ER'!$D$23:$D$38,'2015ER'!$H$23:$H$38)-LOOKUP(ROUNDDOWN($D$52/5, 0)*5,'2015ER'!$D$23:$D$38,'2015ER'!$H$23:$H$38))</f>
        <v>0.44305394111013013</v>
      </c>
      <c r="E63" s="69">
        <f>LOOKUP(ROUNDDOWN($E$52/5, 0)*5,'2025ER'!$D$23:$D$38,'2025ER'!$H$23:$H$38)+(($E$52-ROUNDDOWN($E$52/5, 0)*5)/5)*(LOOKUP(ROUNDUP($E$52/5, 0)*5,'2025ER'!$D$23:$D$38,'2025ER'!$H$23:$H$38)-LOOKUP(ROUNDDOWN($E$52/5, 0)*5,'2025ER'!$D$23:$D$38,'2025ER'!$H$23:$H$38))</f>
        <v>9.9178125877923171E-2</v>
      </c>
      <c r="F63" s="69">
        <f>TREND(D63:E63,$D$7:$E$7,$F$7)</f>
        <v>0.27111603349402458</v>
      </c>
      <c r="G63" s="342"/>
      <c r="H63" s="361"/>
      <c r="N63" s="499"/>
      <c r="O63" s="512"/>
      <c r="P63" s="512"/>
      <c r="Q63" s="512"/>
      <c r="R63" s="512"/>
      <c r="S63" s="512"/>
      <c r="T63" s="512"/>
    </row>
    <row r="64" spans="1:20" x14ac:dyDescent="0.25">
      <c r="A64" s="361"/>
      <c r="B64" s="171"/>
      <c r="C64" s="193" t="s">
        <v>200</v>
      </c>
      <c r="D64" s="69">
        <f>LOOKUP(ROUNDDOWN($D$52/5, 0)*5,'2015ER'!$D$40:$D$55,'2015ER'!$H$40:$H$55)+(($D$52-ROUNDDOWN($D$52/5, 0)*5)/5)*(LOOKUP(ROUNDUP($D$52/5, 0)*5,'2015ER'!$D$40:$D$55,'2015ER'!$H$40:$H$55)-LOOKUP(ROUNDDOWN($D$52/5, 0)*5,'2015ER'!$D$40:$D$55,'2015ER'!$H$40:$H$55))</f>
        <v>4.236728188081124E-3</v>
      </c>
      <c r="E64" s="69">
        <f>LOOKUP(ROUNDDOWN($E$52/5, 0)*5,'2025ER'!$D$40:$D$55,'2025ER'!$H$40:$H$55)+(($E$52-ROUNDDOWN($E$52/5, 0)*5)/5)*(LOOKUP(ROUNDUP($E$52/5, 0)*5,'2025ER'!$D$40:$D$55,'2025ER'!$H$40:$H$55)-LOOKUP(ROUNDDOWN($E$52/5, 0)*5,'2025ER'!$D$40:$D$55,'2025ER'!$H$40:$H$55))</f>
        <v>3.341563604075825E-3</v>
      </c>
      <c r="F64" s="69">
        <f>TREND(D64:E64,$D$7:$E$7,$F$7)</f>
        <v>3.789145896078483E-3</v>
      </c>
      <c r="G64" s="342"/>
      <c r="H64" s="361"/>
      <c r="N64" s="499"/>
      <c r="O64" s="512"/>
      <c r="P64" s="512"/>
      <c r="Q64" s="512"/>
      <c r="R64" s="512"/>
      <c r="S64" s="512"/>
      <c r="T64" s="512"/>
    </row>
    <row r="65" spans="1:20" x14ac:dyDescent="0.25">
      <c r="A65" s="361"/>
      <c r="B65" s="171"/>
      <c r="C65" s="193" t="s">
        <v>224</v>
      </c>
      <c r="D65" s="69">
        <f>LOOKUP(ROUNDDOWN($D$52/5, 0)*5,'2015ER'!$D$57:$D$72,'2015ER'!$H$57:$H$72)+(($D$52-ROUNDDOWN($D$52/5, 0)*5)/5)*(LOOKUP(ROUNDUP($D$52/5, 0)*5,'2015ER'!$D$57:$D$72,'2015ER'!$H$57:$H$72)-LOOKUP(ROUNDDOWN($D$52/5, 0)*5,'2015ER'!$D$57:$D$72,'2015ER'!$H$57:$H$72))</f>
        <v>0.44387393570463618</v>
      </c>
      <c r="E65" s="69">
        <f>LOOKUP(ROUNDDOWN($E$52/5, 0)*5,'2025ER'!$D$57:$D$72,'2025ER'!$H$57:$H$72)+(($E$52-ROUNDDOWN($E$52/5, 0)*5)/5)*(LOOKUP(ROUNDUP($E$52/5, 0)*5,'2025ER'!$D$57:$D$72,'2025ER'!$H$57:$H$72)-LOOKUP(ROUNDDOWN($E$52/5, 0)*5,'2025ER'!$D$57:$D$72,'2025ER'!$H$57:$H$72))</f>
        <v>9.9408194195268945E-2</v>
      </c>
      <c r="F65" s="69">
        <f>TREND(D65:E65,$D$7:$E$7,$F$7)</f>
        <v>0.27164106494994655</v>
      </c>
      <c r="G65" s="342"/>
      <c r="H65" s="361"/>
      <c r="N65" s="499"/>
      <c r="O65" s="512"/>
      <c r="P65" s="512"/>
      <c r="Q65" s="512"/>
      <c r="R65" s="512"/>
      <c r="S65" s="512"/>
      <c r="T65" s="512"/>
    </row>
    <row r="66" spans="1:20" x14ac:dyDescent="0.25">
      <c r="A66" s="361"/>
      <c r="B66" s="171"/>
      <c r="C66" s="193" t="s">
        <v>222</v>
      </c>
      <c r="D66" s="69">
        <f>LOOKUP(ROUNDDOWN($D$52/5, 0)*5,'2015ER'!$D$74:$D$89,'2015ER'!$H$74:$H$89)+(($D$52-ROUNDDOWN($D$52/5, 0)*5)/5)*(LOOKUP(ROUNDUP($D$52/5, 0)*5,'2015ER'!$D$74:$D$89,'2015ER'!$H$74:$H$89)-LOOKUP(ROUNDDOWN($D$52/5, 0)*5,'2015ER'!$D$74:$D$89,'2015ER'!$H$74:$H$89))</f>
        <v>0.1766943562103658</v>
      </c>
      <c r="E66" s="69">
        <f>LOOKUP(ROUNDDOWN($E$52/5, 0)*5,'2025ER'!$D$74:$D$89,'2025ER'!$H$74:$H$89)+(($E$52-ROUNDDOWN($E$52/5, 0)*5)/5)*(LOOKUP(ROUNDUP($E$52/5, 0)*5,'2025ER'!$D$74:$D$89,'2025ER'!$H$74:$H$89)-LOOKUP(ROUNDDOWN($E$52/5, 0)*5,'2025ER'!$D$74:$D$89,'2025ER'!$H$74:$H$89))</f>
        <v>5.866365034378343E-2</v>
      </c>
      <c r="F66" s="69">
        <f>TREND(D66:E66,$D$7:$E$7,$F$7)</f>
        <v>0.11767900327707537</v>
      </c>
      <c r="G66" s="342"/>
      <c r="H66" s="361"/>
      <c r="N66" s="499"/>
      <c r="O66" s="512"/>
      <c r="P66" s="512"/>
      <c r="Q66" s="512"/>
      <c r="R66" s="512"/>
      <c r="S66" s="512"/>
      <c r="T66" s="512"/>
    </row>
    <row r="67" spans="1:20" x14ac:dyDescent="0.25">
      <c r="A67" s="368"/>
      <c r="B67" s="724"/>
      <c r="C67" s="193" t="s">
        <v>584</v>
      </c>
      <c r="D67" s="69">
        <f>LOOKUP(ROUNDDOWN($D$52/5, 0)*5,'2015ER'!$D$91:$D$106,'2015ER'!$H$91:$H$106)+(($D$52-ROUNDDOWN($D$52/5, 0)*5)/5)*(LOOKUP(ROUNDUP($D$52/5, 0)*5,'2015ER'!$D$91:$D$106,'2015ER'!$H$91:$H$106)-LOOKUP(ROUNDDOWN($D$52/5, 0)*5,'2015ER'!$D$91:$D$106,'2015ER'!$H$91:$H$106))</f>
        <v>7.5406882379073408E-3</v>
      </c>
      <c r="E67" s="733">
        <f>LOOKUP(ROUNDDOWN($E$52/5, 0)*5,'2025ER'!$D$91:$D$106,'2025ER'!$H$91:$H$106)+(($E$52-ROUNDDOWN($E$52/5, 0)*5)/5)*(LOOKUP(ROUNDUP($E$52/5, 0)*5,'2025ER'!$D$91:$D$106,'2025ER'!$H$91:$H$106)-LOOKUP(ROUNDDOWN($E$52/5, 0)*5,'2025ER'!$D$91:$D$106,'2025ER'!$H$91:$H$106))</f>
        <v>1.9617532804624051E-3</v>
      </c>
      <c r="F67" s="69">
        <f t="shared" ref="F67" si="1">TREND(D67:E67,$D$7:$E$7,$F$7)</f>
        <v>4.7512207591848821E-3</v>
      </c>
      <c r="G67" s="342"/>
      <c r="H67" s="368"/>
      <c r="N67" s="499"/>
      <c r="O67" s="512"/>
      <c r="P67" s="512"/>
      <c r="Q67" s="512"/>
      <c r="R67" s="512"/>
      <c r="S67" s="512"/>
      <c r="T67" s="512"/>
    </row>
    <row r="68" spans="1:20" x14ac:dyDescent="0.25">
      <c r="A68" s="368"/>
      <c r="B68" s="724"/>
      <c r="C68" s="193" t="s">
        <v>585</v>
      </c>
      <c r="D68" s="69">
        <f>LOOKUP(ROUNDDOWN($D$52/5, 0)*5,'2015ER'!$D$108:$D$123,'2015ER'!$H$108:$H$123)+(($D$52-ROUNDDOWN($D$52/5, 0)*5)/5)*(LOOKUP(ROUNDUP($D$52/5, 0)*5,'2015ER'!$D$108:$D$123,'2015ER'!$H$108:$H$123)-LOOKUP(ROUNDDOWN($D$52/5, 0)*5,'2015ER'!$D$108:$D$123,'2015ER'!$H$108:$H$123))</f>
        <v>3.0777265090205992</v>
      </c>
      <c r="E68" s="733">
        <f>LOOKUP(ROUNDDOWN($E$52/5, 0)*5,'2025ER'!$D$91:$D$106,'2025ER'!$H$91:$H$106)+(($E$52-ROUNDDOWN($E$52/5, 0)*5)/5)*(LOOKUP(ROUNDUP($E$52/5, 0)*5,'2025ER'!$D$91:$D$106,'2025ER'!$H$91:$H$106)-LOOKUP(ROUNDDOWN($E$52/5, 0)*5,'2025ER'!$D$91:$D$106,'2025ER'!$H$91:$H$106))</f>
        <v>1.9617532804624051E-3</v>
      </c>
      <c r="F68" s="69">
        <f>TREND(D68:E68,$D$7:$E$7,$F$7)</f>
        <v>1.5398441311505167</v>
      </c>
      <c r="G68" s="342"/>
      <c r="H68" s="368"/>
      <c r="N68" s="499"/>
      <c r="O68" s="512"/>
      <c r="P68" s="512"/>
      <c r="Q68" s="512"/>
      <c r="R68" s="512"/>
      <c r="S68" s="512"/>
      <c r="T68" s="512"/>
    </row>
    <row r="69" spans="1:20" x14ac:dyDescent="0.25">
      <c r="A69" s="361"/>
      <c r="B69" s="171"/>
      <c r="C69" s="312" t="s">
        <v>226</v>
      </c>
      <c r="D69" s="350"/>
      <c r="E69" s="350"/>
      <c r="F69" s="350"/>
      <c r="G69" s="342"/>
      <c r="H69" s="361"/>
      <c r="N69" s="499"/>
      <c r="O69" s="512"/>
      <c r="P69" s="512"/>
      <c r="Q69" s="512"/>
      <c r="R69" s="512"/>
      <c r="S69" s="512"/>
      <c r="T69" s="512"/>
    </row>
    <row r="70" spans="1:20" x14ac:dyDescent="0.25">
      <c r="A70" s="361"/>
      <c r="B70" s="171"/>
      <c r="C70" s="193" t="s">
        <v>644</v>
      </c>
      <c r="D70" s="69"/>
      <c r="E70" s="69"/>
      <c r="F70" s="13">
        <f t="shared" ref="F70:F76" si="2">F$8*F$10*F54*$F$32</f>
        <v>1133308334.7326586</v>
      </c>
      <c r="G70" s="342"/>
      <c r="H70" s="361"/>
      <c r="N70" s="499"/>
      <c r="O70" s="512"/>
      <c r="P70" s="512"/>
      <c r="Q70" s="512"/>
      <c r="R70" s="512"/>
      <c r="S70" s="512"/>
      <c r="T70" s="512"/>
    </row>
    <row r="71" spans="1:20" x14ac:dyDescent="0.25">
      <c r="A71" s="361"/>
      <c r="B71" s="171"/>
      <c r="C71" s="193" t="s">
        <v>228</v>
      </c>
      <c r="D71" s="69"/>
      <c r="E71" s="69"/>
      <c r="F71" s="13">
        <f t="shared" si="2"/>
        <v>912673.07336113392</v>
      </c>
      <c r="G71" s="342"/>
      <c r="H71" s="361"/>
      <c r="N71" s="499"/>
      <c r="O71" s="512"/>
      <c r="P71" s="512"/>
      <c r="Q71" s="512"/>
      <c r="R71" s="512"/>
      <c r="S71" s="512"/>
      <c r="T71" s="512"/>
    </row>
    <row r="72" spans="1:20" x14ac:dyDescent="0.25">
      <c r="A72" s="361"/>
      <c r="B72" s="171"/>
      <c r="C72" s="193" t="s">
        <v>229</v>
      </c>
      <c r="D72" s="69"/>
      <c r="E72" s="69"/>
      <c r="F72" s="13">
        <f t="shared" si="2"/>
        <v>12861.730938316054</v>
      </c>
      <c r="G72" s="342"/>
      <c r="H72" s="361"/>
      <c r="N72" s="499"/>
      <c r="O72" s="512"/>
      <c r="P72" s="512"/>
      <c r="Q72" s="512"/>
      <c r="R72" s="512"/>
      <c r="S72" s="512"/>
      <c r="T72" s="512"/>
    </row>
    <row r="73" spans="1:20" x14ac:dyDescent="0.25">
      <c r="A73" s="361"/>
      <c r="B73" s="171"/>
      <c r="C73" s="193" t="s">
        <v>230</v>
      </c>
      <c r="D73" s="69"/>
      <c r="E73" s="69"/>
      <c r="F73" s="13">
        <f t="shared" si="2"/>
        <v>917193.01166116563</v>
      </c>
      <c r="G73" s="342"/>
      <c r="H73" s="361"/>
      <c r="N73" s="499"/>
      <c r="O73" s="512"/>
      <c r="P73" s="512"/>
      <c r="Q73" s="512"/>
      <c r="R73" s="512"/>
      <c r="S73" s="512"/>
      <c r="T73" s="512"/>
    </row>
    <row r="74" spans="1:20" x14ac:dyDescent="0.25">
      <c r="A74" s="361"/>
      <c r="B74" s="171"/>
      <c r="C74" s="193" t="s">
        <v>231</v>
      </c>
      <c r="D74" s="69"/>
      <c r="E74" s="69"/>
      <c r="F74" s="13">
        <f t="shared" si="2"/>
        <v>398992.06616964861</v>
      </c>
      <c r="G74" s="342"/>
      <c r="H74" s="361"/>
      <c r="N74" s="499"/>
      <c r="O74" s="512"/>
      <c r="P74" s="512"/>
      <c r="Q74" s="512"/>
      <c r="R74" s="512"/>
      <c r="S74" s="512"/>
      <c r="T74" s="512"/>
    </row>
    <row r="75" spans="1:20" x14ac:dyDescent="0.25">
      <c r="A75" s="368"/>
      <c r="B75" s="724"/>
      <c r="C75" s="193" t="s">
        <v>586</v>
      </c>
      <c r="D75" s="69"/>
      <c r="E75" s="69"/>
      <c r="F75" s="13">
        <f t="shared" si="2"/>
        <v>16023.74772712939</v>
      </c>
      <c r="G75" s="342"/>
      <c r="H75" s="368"/>
      <c r="N75" s="499"/>
      <c r="O75" s="512"/>
      <c r="P75" s="512"/>
      <c r="Q75" s="512"/>
      <c r="R75" s="512"/>
      <c r="S75" s="512"/>
      <c r="T75" s="512"/>
    </row>
    <row r="76" spans="1:20" x14ac:dyDescent="0.25">
      <c r="A76" s="368"/>
      <c r="B76" s="724"/>
      <c r="C76" s="193" t="s">
        <v>587</v>
      </c>
      <c r="D76" s="69"/>
      <c r="E76" s="69"/>
      <c r="F76" s="13">
        <f t="shared" si="2"/>
        <v>5205350.5393113224</v>
      </c>
      <c r="G76" s="342"/>
      <c r="H76" s="368"/>
      <c r="N76" s="499"/>
      <c r="O76" s="512"/>
      <c r="P76" s="512"/>
      <c r="Q76" s="512"/>
      <c r="R76" s="512"/>
      <c r="S76" s="512"/>
      <c r="T76" s="512"/>
    </row>
    <row r="77" spans="1:20" x14ac:dyDescent="0.25">
      <c r="A77" s="361"/>
      <c r="B77" s="171"/>
      <c r="C77" s="312" t="s">
        <v>227</v>
      </c>
      <c r="D77" s="350"/>
      <c r="E77" s="350"/>
      <c r="F77" s="350"/>
      <c r="G77" s="342"/>
      <c r="H77" s="361"/>
      <c r="N77" s="499"/>
      <c r="O77" s="512"/>
      <c r="P77" s="512"/>
      <c r="Q77" s="512"/>
      <c r="R77" s="512"/>
      <c r="S77" s="512"/>
      <c r="T77" s="512"/>
    </row>
    <row r="78" spans="1:20" x14ac:dyDescent="0.25">
      <c r="A78" s="361"/>
      <c r="B78" s="171"/>
      <c r="C78" s="193" t="s">
        <v>644</v>
      </c>
      <c r="D78" s="69"/>
      <c r="E78" s="69"/>
      <c r="F78" s="13">
        <f t="shared" ref="F78:F84" si="3">(F$8*F$10*F$32-F$89)*F62</f>
        <v>1075161177.9207876</v>
      </c>
      <c r="G78" s="342"/>
      <c r="H78" s="361"/>
      <c r="N78" s="499"/>
      <c r="O78" s="512"/>
      <c r="P78" s="512"/>
      <c r="Q78" s="512"/>
      <c r="R78" s="512"/>
      <c r="S78" s="512"/>
      <c r="T78" s="512"/>
    </row>
    <row r="79" spans="1:20" x14ac:dyDescent="0.25">
      <c r="A79" s="361"/>
      <c r="B79" s="171"/>
      <c r="C79" s="193" t="s">
        <v>228</v>
      </c>
      <c r="D79" s="69"/>
      <c r="E79" s="69"/>
      <c r="F79" s="13">
        <f t="shared" si="3"/>
        <v>867296.24924226664</v>
      </c>
      <c r="G79" s="342"/>
      <c r="H79" s="361"/>
      <c r="I79" s="575"/>
      <c r="N79" s="499"/>
      <c r="O79" s="512"/>
      <c r="P79" s="512"/>
      <c r="Q79" s="512"/>
      <c r="R79" s="512"/>
      <c r="S79" s="512"/>
      <c r="T79" s="512"/>
    </row>
    <row r="80" spans="1:20" x14ac:dyDescent="0.25">
      <c r="A80" s="361"/>
      <c r="B80" s="171"/>
      <c r="C80" s="193" t="s">
        <v>229</v>
      </c>
      <c r="D80" s="69"/>
      <c r="E80" s="69"/>
      <c r="F80" s="13">
        <f t="shared" si="3"/>
        <v>12121.42262907895</v>
      </c>
      <c r="G80" s="342"/>
      <c r="H80" s="361"/>
      <c r="N80" s="499"/>
      <c r="O80" s="512"/>
      <c r="P80" s="512"/>
      <c r="Q80" s="512"/>
      <c r="R80" s="512"/>
      <c r="S80" s="512"/>
      <c r="T80" s="512"/>
    </row>
    <row r="81" spans="1:20" x14ac:dyDescent="0.25">
      <c r="A81" s="361"/>
      <c r="B81" s="171"/>
      <c r="C81" s="193" t="s">
        <v>230</v>
      </c>
      <c r="D81" s="69"/>
      <c r="E81" s="69"/>
      <c r="F81" s="13">
        <f t="shared" si="3"/>
        <v>868975.81723604002</v>
      </c>
      <c r="G81" s="342"/>
      <c r="H81" s="361"/>
      <c r="N81" s="499"/>
      <c r="O81" s="512"/>
      <c r="P81" s="512"/>
      <c r="Q81" s="512"/>
      <c r="R81" s="512"/>
      <c r="S81" s="512"/>
      <c r="T81" s="512"/>
    </row>
    <row r="82" spans="1:20" x14ac:dyDescent="0.25">
      <c r="A82" s="361"/>
      <c r="B82" s="171"/>
      <c r="C82" s="193" t="s">
        <v>231</v>
      </c>
      <c r="D82" s="69"/>
      <c r="E82" s="69"/>
      <c r="F82" s="13">
        <f t="shared" si="3"/>
        <v>376453.42048361496</v>
      </c>
      <c r="G82" s="342"/>
      <c r="H82" s="361"/>
      <c r="N82" s="499"/>
      <c r="O82" s="512"/>
      <c r="P82" s="512"/>
      <c r="Q82" s="512"/>
      <c r="R82" s="512"/>
      <c r="S82" s="512"/>
      <c r="T82" s="512"/>
    </row>
    <row r="83" spans="1:20" x14ac:dyDescent="0.25">
      <c r="A83" s="368"/>
      <c r="B83" s="724"/>
      <c r="C83" s="193" t="s">
        <v>586</v>
      </c>
      <c r="D83" s="734"/>
      <c r="E83" s="734"/>
      <c r="F83" s="13">
        <f t="shared" si="3"/>
        <v>15199.086128020768</v>
      </c>
      <c r="G83" s="342"/>
      <c r="H83" s="368"/>
    </row>
    <row r="84" spans="1:20" x14ac:dyDescent="0.25">
      <c r="A84" s="368"/>
      <c r="B84" s="724"/>
      <c r="C84" s="193" t="s">
        <v>587</v>
      </c>
      <c r="D84" s="734"/>
      <c r="E84" s="734"/>
      <c r="F84" s="13">
        <f t="shared" si="3"/>
        <v>4925938.9869098049</v>
      </c>
      <c r="G84" s="342"/>
      <c r="H84" s="368"/>
    </row>
    <row r="85" spans="1:20" x14ac:dyDescent="0.25">
      <c r="A85" s="361"/>
      <c r="B85" s="171"/>
      <c r="C85" s="23"/>
      <c r="D85" s="345"/>
      <c r="E85" s="345"/>
      <c r="F85" s="342"/>
      <c r="G85" s="342"/>
      <c r="H85" s="361"/>
    </row>
    <row r="86" spans="1:20" ht="15.75" x14ac:dyDescent="0.25">
      <c r="A86" s="361"/>
      <c r="B86" s="171"/>
      <c r="C86" s="887" t="s">
        <v>318</v>
      </c>
      <c r="D86" s="887"/>
      <c r="E86" s="887"/>
      <c r="F86" s="887"/>
      <c r="G86" s="342"/>
      <c r="H86" s="361"/>
    </row>
    <row r="87" spans="1:20" ht="15.75" thickBot="1" x14ac:dyDescent="0.3">
      <c r="A87" s="361"/>
      <c r="B87" s="171"/>
      <c r="C87" s="360" t="s">
        <v>319</v>
      </c>
      <c r="D87" s="360"/>
      <c r="E87" s="360"/>
      <c r="F87" s="360"/>
      <c r="G87" s="342"/>
      <c r="H87" s="361"/>
    </row>
    <row r="88" spans="1:20" x14ac:dyDescent="0.25">
      <c r="A88" s="361"/>
      <c r="B88" s="180"/>
      <c r="C88" s="362" t="s">
        <v>116</v>
      </c>
      <c r="D88" s="691"/>
      <c r="E88" s="689"/>
      <c r="F88" s="326">
        <f>(((F49/60)*F32*F8)-(((F8*F32)-F43)*(F50/60)))</f>
        <v>5896.5597571448743</v>
      </c>
      <c r="G88" s="121"/>
      <c r="H88" s="361"/>
    </row>
    <row r="89" spans="1:20" ht="15.75" thickBot="1" x14ac:dyDescent="0.3">
      <c r="A89" s="361"/>
      <c r="B89" s="180"/>
      <c r="C89" s="363" t="s">
        <v>11</v>
      </c>
      <c r="D89" s="692"/>
      <c r="E89" s="690"/>
      <c r="F89" s="328">
        <f>(F40*F18)+(F41*F21)+(F42*F24)</f>
        <v>157414.53954997449</v>
      </c>
      <c r="G89" s="121"/>
      <c r="H89" s="361"/>
    </row>
    <row r="90" spans="1:20" x14ac:dyDescent="0.25">
      <c r="A90" s="361"/>
      <c r="B90" s="171"/>
      <c r="C90" s="349"/>
      <c r="D90" s="343"/>
      <c r="E90" s="343"/>
      <c r="F90" s="343"/>
      <c r="G90" s="332"/>
      <c r="H90" s="361"/>
    </row>
    <row r="91" spans="1:20" ht="15.75" thickBot="1" x14ac:dyDescent="0.3">
      <c r="A91" s="361"/>
      <c r="B91" s="171"/>
      <c r="C91" s="778" t="s">
        <v>329</v>
      </c>
      <c r="D91"/>
      <c r="E91"/>
      <c r="F91"/>
      <c r="G91" s="172"/>
      <c r="H91" s="361"/>
    </row>
    <row r="92" spans="1:20" x14ac:dyDescent="0.25">
      <c r="A92" s="361"/>
      <c r="B92" s="2"/>
      <c r="C92" s="850" t="s">
        <v>731</v>
      </c>
      <c r="D92" s="794"/>
      <c r="E92" s="794"/>
      <c r="F92" s="827">
        <f>(F70-F78)/1000</f>
        <v>58147.156811871049</v>
      </c>
      <c r="G92" s="337"/>
      <c r="H92" s="361"/>
      <c r="P92" s="496"/>
      <c r="Q92" s="496"/>
      <c r="R92" s="496"/>
      <c r="S92" s="496"/>
    </row>
    <row r="93" spans="1:20" x14ac:dyDescent="0.25">
      <c r="A93" s="361"/>
      <c r="B93" s="2"/>
      <c r="C93" s="851" t="s">
        <v>702</v>
      </c>
      <c r="D93" s="781"/>
      <c r="E93" s="781"/>
      <c r="F93" s="828">
        <f t="shared" ref="F93:F98" si="4">(F71-F79)/1000</f>
        <v>45.376824118867283</v>
      </c>
      <c r="G93" s="337"/>
      <c r="H93" s="361"/>
      <c r="P93" s="508"/>
      <c r="Q93" s="513"/>
      <c r="R93" s="509"/>
      <c r="S93" s="509"/>
    </row>
    <row r="94" spans="1:20" x14ac:dyDescent="0.25">
      <c r="A94" s="361"/>
      <c r="B94" s="2"/>
      <c r="C94" s="851" t="s">
        <v>703</v>
      </c>
      <c r="D94" s="781"/>
      <c r="E94" s="781"/>
      <c r="F94" s="828">
        <f t="shared" si="4"/>
        <v>0.74030830923710345</v>
      </c>
      <c r="G94" s="337"/>
      <c r="H94" s="361"/>
      <c r="I94" s="496"/>
      <c r="Q94" s="510"/>
      <c r="R94" s="510"/>
      <c r="S94" s="510"/>
    </row>
    <row r="95" spans="1:20" x14ac:dyDescent="0.25">
      <c r="A95" s="361"/>
      <c r="B95" s="2"/>
      <c r="C95" s="869" t="s">
        <v>704</v>
      </c>
      <c r="D95" s="780"/>
      <c r="E95" s="780"/>
      <c r="F95" s="829">
        <f t="shared" si="4"/>
        <v>48.217194425125605</v>
      </c>
      <c r="G95" s="337"/>
      <c r="H95" s="361"/>
      <c r="Q95" s="510"/>
      <c r="R95" s="510"/>
      <c r="S95" s="510"/>
    </row>
    <row r="96" spans="1:20" x14ac:dyDescent="0.25">
      <c r="A96" s="361"/>
      <c r="B96" s="2"/>
      <c r="C96" s="869" t="s">
        <v>705</v>
      </c>
      <c r="D96" s="780"/>
      <c r="E96" s="780"/>
      <c r="F96" s="829">
        <f t="shared" si="4"/>
        <v>22.538645686033647</v>
      </c>
      <c r="G96" s="337"/>
      <c r="H96" s="361"/>
      <c r="Q96" s="511"/>
      <c r="R96" s="512"/>
      <c r="S96" s="511"/>
    </row>
    <row r="97" spans="1:25" x14ac:dyDescent="0.25">
      <c r="A97" s="368"/>
      <c r="B97" s="2"/>
      <c r="C97" s="869" t="s">
        <v>706</v>
      </c>
      <c r="D97" s="780"/>
      <c r="E97" s="780"/>
      <c r="F97" s="829">
        <f t="shared" si="4"/>
        <v>0.82466159910862191</v>
      </c>
      <c r="G97" s="337"/>
      <c r="H97" s="368"/>
      <c r="Q97" s="511"/>
      <c r="R97" s="512"/>
      <c r="S97" s="511"/>
    </row>
    <row r="98" spans="1:25" ht="15.75" thickBot="1" x14ac:dyDescent="0.3">
      <c r="A98" s="368"/>
      <c r="B98" s="2"/>
      <c r="C98" s="870" t="s">
        <v>707</v>
      </c>
      <c r="D98" s="789"/>
      <c r="E98" s="789"/>
      <c r="F98" s="830">
        <f t="shared" si="4"/>
        <v>279.4115524015175</v>
      </c>
      <c r="G98" s="337"/>
      <c r="H98" s="368"/>
      <c r="Q98" s="511"/>
      <c r="R98" s="512"/>
      <c r="S98" s="511"/>
    </row>
    <row r="99" spans="1:25" x14ac:dyDescent="0.25">
      <c r="A99" s="361"/>
      <c r="B99" s="2"/>
      <c r="C99" s="874" t="s">
        <v>732</v>
      </c>
      <c r="D99" s="794"/>
      <c r="E99" s="794"/>
      <c r="F99" s="849">
        <f>(F92)/$F$32</f>
        <v>290.73578405935524</v>
      </c>
      <c r="G99" s="131"/>
      <c r="H99" s="361"/>
      <c r="Q99" s="511"/>
      <c r="R99" s="512"/>
      <c r="S99" s="511"/>
    </row>
    <row r="100" spans="1:25" x14ac:dyDescent="0.25">
      <c r="A100" s="361"/>
      <c r="B100" s="2"/>
      <c r="C100" s="875" t="s">
        <v>709</v>
      </c>
      <c r="D100" s="780"/>
      <c r="E100" s="780"/>
      <c r="F100" s="801">
        <f t="shared" ref="F100:F105" si="5">(F93)/$F$32</f>
        <v>0.22688412059433641</v>
      </c>
      <c r="G100" s="131"/>
      <c r="H100" s="361"/>
      <c r="J100" s="496"/>
      <c r="K100" s="496"/>
      <c r="L100" s="496"/>
      <c r="Q100" s="511"/>
      <c r="R100" s="512"/>
      <c r="S100" s="511"/>
    </row>
    <row r="101" spans="1:25" x14ac:dyDescent="0.25">
      <c r="A101" s="361"/>
      <c r="B101" s="2"/>
      <c r="C101" s="875" t="s">
        <v>710</v>
      </c>
      <c r="D101" s="780"/>
      <c r="E101" s="780"/>
      <c r="F101" s="801">
        <f t="shared" si="5"/>
        <v>3.7015415461855174E-3</v>
      </c>
      <c r="G101" s="171"/>
      <c r="H101" s="361"/>
      <c r="M101" s="496"/>
      <c r="N101" s="496"/>
      <c r="O101" s="496"/>
      <c r="P101" s="496"/>
      <c r="Q101" s="496"/>
      <c r="R101" s="496"/>
      <c r="S101" s="496"/>
    </row>
    <row r="102" spans="1:25" x14ac:dyDescent="0.25">
      <c r="A102" s="361"/>
      <c r="B102" s="2"/>
      <c r="C102" s="876" t="s">
        <v>711</v>
      </c>
      <c r="D102" s="781"/>
      <c r="E102" s="781"/>
      <c r="F102" s="802">
        <f t="shared" si="5"/>
        <v>0.24108597212562802</v>
      </c>
      <c r="G102" s="171"/>
      <c r="H102" s="361"/>
    </row>
    <row r="103" spans="1:25" x14ac:dyDescent="0.25">
      <c r="A103" s="361"/>
      <c r="B103" s="2"/>
      <c r="C103" s="876" t="s">
        <v>712</v>
      </c>
      <c r="D103" s="781"/>
      <c r="E103" s="781"/>
      <c r="F103" s="802">
        <f t="shared" si="5"/>
        <v>0.11269322843016823</v>
      </c>
      <c r="G103" s="171"/>
      <c r="H103" s="361"/>
    </row>
    <row r="104" spans="1:25" x14ac:dyDescent="0.25">
      <c r="A104" s="368"/>
      <c r="B104" s="2"/>
      <c r="C104" s="875" t="s">
        <v>713</v>
      </c>
      <c r="D104" s="780"/>
      <c r="E104" s="780"/>
      <c r="F104" s="801">
        <f t="shared" si="5"/>
        <v>4.1233079955431094E-3</v>
      </c>
      <c r="G104" s="724"/>
      <c r="H104" s="368"/>
    </row>
    <row r="105" spans="1:25" ht="15.75" thickBot="1" x14ac:dyDescent="0.3">
      <c r="A105" s="368"/>
      <c r="B105" s="2"/>
      <c r="C105" s="877" t="s">
        <v>714</v>
      </c>
      <c r="D105" s="786"/>
      <c r="E105" s="786"/>
      <c r="F105" s="803">
        <f t="shared" si="5"/>
        <v>1.3970577620075875</v>
      </c>
      <c r="G105" s="724"/>
      <c r="H105" s="368"/>
    </row>
    <row r="106" spans="1:25" ht="15.75" thickBot="1" x14ac:dyDescent="0.3">
      <c r="A106" s="368"/>
      <c r="B106" s="724"/>
      <c r="C106" s="336"/>
      <c r="D106" s="324"/>
      <c r="E106" s="324"/>
      <c r="F106" s="324"/>
      <c r="G106" s="324"/>
      <c r="H106" s="368"/>
      <c r="L106" s="497"/>
      <c r="M106" s="498"/>
    </row>
    <row r="107" spans="1:25" s="206" customFormat="1" x14ac:dyDescent="0.25">
      <c r="A107" s="368"/>
      <c r="B107" s="724"/>
      <c r="C107" s="850" t="s">
        <v>715</v>
      </c>
      <c r="D107" s="821"/>
      <c r="E107" s="821"/>
      <c r="F107" s="795">
        <v>5212260</v>
      </c>
      <c r="G107" s="724"/>
      <c r="H107" s="368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371"/>
      <c r="V107" s="371"/>
      <c r="W107" s="371"/>
      <c r="X107" s="371"/>
      <c r="Y107" s="371"/>
    </row>
    <row r="108" spans="1:25" s="206" customFormat="1" x14ac:dyDescent="0.25">
      <c r="A108" s="368"/>
      <c r="B108" s="724"/>
      <c r="C108" s="869" t="s">
        <v>716</v>
      </c>
      <c r="D108" s="820"/>
      <c r="E108" s="820"/>
      <c r="F108" s="796">
        <v>20</v>
      </c>
      <c r="G108" s="724"/>
      <c r="H108" s="368"/>
      <c r="I108" s="371"/>
      <c r="J108" s="371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371"/>
      <c r="V108" s="371"/>
      <c r="W108" s="371"/>
      <c r="X108" s="371"/>
      <c r="Y108" s="371"/>
    </row>
    <row r="109" spans="1:25" s="206" customFormat="1" x14ac:dyDescent="0.25">
      <c r="A109" s="368"/>
      <c r="B109" s="724"/>
      <c r="C109" s="851" t="s">
        <v>717</v>
      </c>
      <c r="D109" s="826"/>
      <c r="E109" s="826"/>
      <c r="F109" s="797">
        <f>(F$107/F$108)/F93</f>
        <v>5743.3063036167714</v>
      </c>
      <c r="G109" s="724"/>
      <c r="H109" s="368"/>
      <c r="I109" s="371"/>
      <c r="J109" s="371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371"/>
      <c r="V109" s="371"/>
      <c r="W109" s="371"/>
      <c r="X109" s="371"/>
      <c r="Y109" s="371"/>
    </row>
    <row r="110" spans="1:25" s="206" customFormat="1" x14ac:dyDescent="0.25">
      <c r="A110" s="368"/>
      <c r="B110" s="724"/>
      <c r="C110" s="851" t="s">
        <v>718</v>
      </c>
      <c r="D110" s="826"/>
      <c r="E110" s="826"/>
      <c r="F110" s="797">
        <f>(F$107/F$108)/F94</f>
        <v>352033.06075081718</v>
      </c>
      <c r="G110" s="724"/>
      <c r="H110" s="368"/>
      <c r="I110" s="371"/>
      <c r="J110" s="371"/>
      <c r="K110" s="371"/>
      <c r="L110" s="371"/>
      <c r="M110" s="371"/>
      <c r="N110" s="371"/>
      <c r="O110" s="371"/>
      <c r="P110" s="371"/>
      <c r="Q110" s="371"/>
      <c r="R110" s="371"/>
      <c r="S110" s="371"/>
      <c r="T110" s="371"/>
      <c r="U110" s="371"/>
      <c r="V110" s="371"/>
      <c r="W110" s="371"/>
      <c r="X110" s="371"/>
      <c r="Y110" s="371"/>
    </row>
    <row r="111" spans="1:25" s="206" customFormat="1" x14ac:dyDescent="0.25">
      <c r="A111" s="368"/>
      <c r="B111" s="724"/>
      <c r="C111" s="851" t="s">
        <v>719</v>
      </c>
      <c r="D111" s="826"/>
      <c r="E111" s="826"/>
      <c r="F111" s="797">
        <f>((F$107/F$108)/$F$32)/$F102</f>
        <v>5404.9805905794592</v>
      </c>
      <c r="G111" s="724"/>
      <c r="H111" s="368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371"/>
      <c r="V111" s="371"/>
      <c r="W111" s="371"/>
      <c r="X111" s="371"/>
      <c r="Y111" s="371"/>
    </row>
    <row r="112" spans="1:25" s="206" customFormat="1" x14ac:dyDescent="0.25">
      <c r="A112" s="368"/>
      <c r="B112" s="724"/>
      <c r="C112" s="851" t="s">
        <v>720</v>
      </c>
      <c r="D112" s="826"/>
      <c r="E112" s="826"/>
      <c r="F112" s="797">
        <f>((F$107/F$108)/$F$32)/$F103</f>
        <v>11562.939656196473</v>
      </c>
      <c r="G112" s="724"/>
      <c r="H112" s="368"/>
      <c r="I112" s="371"/>
      <c r="J112" s="371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371"/>
      <c r="V112" s="371"/>
      <c r="W112" s="371"/>
      <c r="X112" s="371"/>
      <c r="Y112" s="371"/>
    </row>
    <row r="113" spans="1:25" s="206" customFormat="1" ht="15.75" thickBot="1" x14ac:dyDescent="0.3">
      <c r="A113" s="368"/>
      <c r="B113" s="724"/>
      <c r="C113" s="873" t="s">
        <v>721</v>
      </c>
      <c r="D113" s="831"/>
      <c r="E113" s="831"/>
      <c r="F113" s="809">
        <f>((F$107/F$108)/$F$32)/$F105</f>
        <v>932.72091923205892</v>
      </c>
      <c r="G113" s="724"/>
      <c r="H113" s="368"/>
      <c r="I113" s="371"/>
      <c r="J113" s="371"/>
      <c r="K113" s="371"/>
      <c r="L113" s="371"/>
      <c r="M113" s="371"/>
      <c r="N113" s="371"/>
      <c r="O113" s="371"/>
      <c r="P113" s="371"/>
      <c r="Q113" s="371"/>
      <c r="R113" s="371"/>
      <c r="S113" s="371"/>
      <c r="T113" s="371"/>
      <c r="U113" s="371"/>
      <c r="V113" s="371"/>
      <c r="W113" s="371"/>
      <c r="X113" s="371"/>
      <c r="Y113" s="371"/>
    </row>
    <row r="114" spans="1:25" x14ac:dyDescent="0.25">
      <c r="A114" s="368"/>
      <c r="B114" s="724"/>
      <c r="C114" s="349"/>
      <c r="D114" s="343"/>
      <c r="E114" s="343"/>
      <c r="F114" s="343"/>
      <c r="G114" s="332"/>
      <c r="H114" s="368"/>
    </row>
    <row r="115" spans="1:25" s="206" customFormat="1" x14ac:dyDescent="0.25">
      <c r="A115" s="368"/>
      <c r="B115" s="368"/>
      <c r="C115" s="368"/>
      <c r="D115" s="368"/>
      <c r="E115" s="368"/>
      <c r="F115" s="368"/>
      <c r="G115" s="368"/>
      <c r="H115" s="368"/>
      <c r="I115" s="371"/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371"/>
      <c r="V115" s="371"/>
      <c r="W115" s="371"/>
      <c r="X115" s="371"/>
      <c r="Y115" s="371"/>
    </row>
  </sheetData>
  <mergeCells count="6">
    <mergeCell ref="C86:F86"/>
    <mergeCell ref="C2:F2"/>
    <mergeCell ref="C3:F3"/>
    <mergeCell ref="C5:F5"/>
    <mergeCell ref="C28:F28"/>
    <mergeCell ref="C38:F38"/>
  </mergeCells>
  <dataValidations count="1">
    <dataValidation type="list" allowBlank="1" showInputMessage="1" showErrorMessage="1" sqref="G6">
      <formula1>$Y$3:$Y$12</formula1>
    </dataValidation>
  </dataValidations>
  <printOptions headings="1" gridLines="1"/>
  <pageMargins left="0.7" right="0.7" top="0.75" bottom="0.75" header="0.3" footer="0.3"/>
  <pageSetup paperSize="17" scale="64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OtherVariables!$A$231:$A$232</xm:f>
          </x14:formula1>
          <xm:sqref>F23 F13 F17 F20</xm:sqref>
        </x14:dataValidation>
        <x14:dataValidation type="list" allowBlank="1" showInputMessage="1" showErrorMessage="1">
          <x14:formula1>
            <xm:f>OtherVariables!$B$171:$B$174</xm:f>
          </x14:formula1>
          <xm:sqref>G14:G15</xm:sqref>
        </x14:dataValidation>
        <x14:dataValidation type="list" allowBlank="1" showInputMessage="1" showErrorMessage="1">
          <x14:formula1>
            <xm:f>OtherVariables!$A$178:$A$179</xm:f>
          </x14:formula1>
          <xm:sqref>F26</xm:sqref>
        </x14:dataValidation>
        <x14:dataValidation type="list" allowBlank="1" showInputMessage="1" showErrorMessage="1">
          <x14:formula1>
            <xm:f>OtherVariables!$P$24:$P$34</xm:f>
          </x14:formula1>
          <xm:sqref>F7</xm:sqref>
        </x14:dataValidation>
        <x14:dataValidation type="list" allowBlank="1" showInputMessage="1" showErrorMessage="1">
          <x14:formula1>
            <xm:f>OtherVariables!$I$14:$I$18</xm:f>
          </x14:formula1>
          <xm:sqref>F15</xm:sqref>
        </x14:dataValidation>
        <x14:dataValidation type="list" allowBlank="1" showInputMessage="1" showErrorMessage="1">
          <x14:formula1>
            <xm:f>OtherVariables!$B$217:$B$221</xm:f>
          </x14:formula1>
          <xm:sqref>F14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85047B6CFB46C7883BA809DE702AA5" ma:contentTypeVersion="2" ma:contentTypeDescription="Create a new document." ma:contentTypeScope="" ma:versionID="986d1307a817331808274a595f5aea7d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ac343a943d85e00f76ba0e29c1718a1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F028B65-AD0D-479F-823B-32841717F9B7}"/>
</file>

<file path=customXml/itemProps2.xml><?xml version="1.0" encoding="utf-8"?>
<ds:datastoreItem xmlns:ds="http://schemas.openxmlformats.org/officeDocument/2006/customXml" ds:itemID="{690C625F-D054-44D1-B21E-B8EF8541B52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16</vt:i4>
      </vt:variant>
    </vt:vector>
  </HeadingPairs>
  <TitlesOfParts>
    <vt:vector size="31" baseType="lpstr">
      <vt:lpstr>2.1_ATMS</vt:lpstr>
      <vt:lpstr>2.2_Signal Synchronization</vt:lpstr>
      <vt:lpstr>2.3a_Int - New Signal</vt:lpstr>
      <vt:lpstr>2.3b_Int - New Phase</vt:lpstr>
      <vt:lpstr>2.3c_Int - Capacity and Phase</vt:lpstr>
      <vt:lpstr>2.3d_Int - New Signal wTurn</vt:lpstr>
      <vt:lpstr>2.4_Roundabout</vt:lpstr>
      <vt:lpstr>3.1_Transit-TransitTech</vt:lpstr>
      <vt:lpstr>4.1_Bike-Ped-Transit</vt:lpstr>
      <vt:lpstr>4.2_Reg. Significant Bike-Ped</vt:lpstr>
      <vt:lpstr>4.3 Carpool-Vanpool</vt:lpstr>
      <vt:lpstr>2015ER</vt:lpstr>
      <vt:lpstr>2025ER</vt:lpstr>
      <vt:lpstr>OtherVariables</vt:lpstr>
      <vt:lpstr>Sources &amp; Comments</vt:lpstr>
      <vt:lpstr>Capacity</vt:lpstr>
      <vt:lpstr>Capacity2</vt:lpstr>
      <vt:lpstr>'2.1_ATMS'!Print_Area</vt:lpstr>
      <vt:lpstr>'2.2_Signal Synchronization'!Print_Area</vt:lpstr>
      <vt:lpstr>'2.3a_Int - New Signal'!Print_Area</vt:lpstr>
      <vt:lpstr>'2.3b_Int - New Phase'!Print_Area</vt:lpstr>
      <vt:lpstr>'2.3c_Int - Capacity and Phase'!Print_Area</vt:lpstr>
      <vt:lpstr>'2.3d_Int - New Signal wTurn'!Print_Area</vt:lpstr>
      <vt:lpstr>'2.4_Roundabout'!Print_Area</vt:lpstr>
      <vt:lpstr>'3.1_Transit-TransitTech'!Print_Area</vt:lpstr>
      <vt:lpstr>'4.1_Bike-Ped-Transit'!Print_Area</vt:lpstr>
      <vt:lpstr>'4.2_Reg. Significant Bike-Ped'!Print_Area</vt:lpstr>
      <vt:lpstr>'4.3 Carpool-Vanpool'!Print_Area</vt:lpstr>
      <vt:lpstr>'Sources &amp; Comments'!Print_Area</vt:lpstr>
      <vt:lpstr>Propensity</vt:lpstr>
      <vt:lpstr>Speed</vt:lpstr>
    </vt:vector>
  </TitlesOfParts>
  <Company>Cambridge Systematics,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Suseel Indrakanti</dc:creator>
  <cp:lastModifiedBy>IMCADMIN</cp:lastModifiedBy>
  <cp:lastPrinted>2016-09-26T20:14:06Z</cp:lastPrinted>
  <dcterms:created xsi:type="dcterms:W3CDTF">2010-04-15T20:06:27Z</dcterms:created>
  <dcterms:modified xsi:type="dcterms:W3CDTF">2016-11-15T18:06:13Z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0x0101000385047B6CFB46C7883BA809DE702AA5</vt:lpwstr>
  </property>
</Properties>
</file>